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Waste Log" sheetId="3" r:id="rId3"/>
    <sheet name="Dashboard" sheetId="4" r:id="rId4"/>
    <sheet name="Method" sheetId="5" r:id="rId5"/>
    <sheet name="Verify" sheetId="6" r:id="rId6"/>
  </sheets>
  <definedNames>
    <definedName name="CountER">Setup!$D$9</definedName>
    <definedName name="Currency">Setup!$D$7</definedName>
    <definedName name="DashFrom">Dashboard!$D$4</definedName>
    <definedName name="DashTo">Dashboard!$I$4</definedName>
    <definedName name="FFrom">IF(DashFrom="",0,DashFrom)</definedName>
    <definedName name="FTo">IF(DashTo="",2958465,DashTo)</definedName>
    <definedName name="KgPerUnit">Setup!$D$11</definedName>
    <definedName name="KpiDisp">Dashboard!$G$8</definedName>
    <definedName name="KpiHaz">Dashboard!$J$8</definedName>
    <definedName name="KpiNet">Dashboard!$B$30</definedName>
    <definedName name="KpiNetPer">Dashboard!$G$30</definedName>
    <definedName name="KpiRate">Dashboard!$D$8</definedName>
    <definedName name="KpiRebate">Dashboard!$D$30</definedName>
    <definedName name="KpiTop">Dashboard!$J$30</definedName>
    <definedName name="KpiTotal">Dashboard!$B$8</definedName>
    <definedName name="PlantName">Setup!$D$6</definedName>
    <definedName name="_xlnm.Print_Area" localSheetId="3">Dashboard!$A$1:$L$93</definedName>
    <definedName name="_xlnm.Print_Area" localSheetId="4">Method!$A$1:$D$54</definedName>
    <definedName name="_xlnm.Print_Area" localSheetId="1">Setup!$A$1:$F$38</definedName>
    <definedName name="_xlnm.Print_Area" localSheetId="0">'Start Here'!$A$1:$F$55</definedName>
    <definedName name="_xlnm.Print_Area" localSheetId="5">Verify!$A$1:$R$45</definedName>
    <definedName name="_xlnm.Print_Area" localSheetId="2">'Waste Log'!$A$1:$R$190</definedName>
    <definedName name="_xlnm.Print_Titles" localSheetId="4">Method!$1:$2</definedName>
    <definedName name="_xlnm.Print_Titles" localSheetId="2">'Waste Log'!$1:$6</definedName>
    <definedName name="ReportUnit">Setup!$D$10</definedName>
    <definedName name="Routes">tblRoutes[Route]</definedName>
    <definedName name="SelfCheck">Verify!$D$4</definedName>
    <definedName name="SelfCheckSummary">Verify!$F$4</definedName>
    <definedName name="Streams">tblStreams[Stream]</definedName>
    <definedName name="TargetDiv">Setup!$D$8</definedName>
  </definedNames>
  <calcPr calcId="124519" fullCalcOnLoad="1"/>
</workbook>
</file>

<file path=xl/sharedStrings.xml><?xml version="1.0" encoding="utf-8"?>
<sst xmlns="http://schemas.openxmlformats.org/spreadsheetml/2006/main" count="1525" uniqueCount="445">
  <si>
    <t>Waste and Recycling Tracker</t>
  </si>
  <si>
    <t>Read this first: what the workbook does and how to use it.</t>
  </si>
  <si>
    <t>mfgcalcs.com</t>
  </si>
  <si>
    <t>Log every waste collection and see the diversion rate, tonnes by stream and route, hazardous waste and net cost after rebates.</t>
  </si>
  <si>
    <t>For: EHS and environmental managers, plant and facility managers, and anyone running a zero-waste-to-landfill or recycling programme.</t>
  </si>
  <si>
    <t>Version 1.0.0  ·  updated 15 October 2026</t>
  </si>
  <si>
    <t>Quick start</t>
  </si>
  <si>
    <t>1.</t>
  </si>
  <si>
    <t>On Setup, type your plant name, currency, diversion target and whether energy recovery counts as diverted, then replace the example waste streams and routes.</t>
  </si>
  <si>
    <t>2.</t>
  </si>
  <si>
    <t>On Waste Log, add one row per collection from the weighbridge ticket or hauler invoice: date, stream, route, weight and its unit, charge and any rebate.</t>
  </si>
  <si>
    <t>3.</t>
  </si>
  <si>
    <t>Read the Check column: anything other than OK names the problem in words.</t>
  </si>
  <si>
    <t>4.</t>
  </si>
  <si>
    <t>Open the Dashboard; use the From and To dates at the top to look at one month, a quarter or a year.</t>
  </si>
  <si>
    <t>What is in this workbook</t>
  </si>
  <si>
    <t>Start Here</t>
  </si>
  <si>
    <t>Setup</t>
  </si>
  <si>
    <t>Plant, currency, diversion target and rule, report unit, and the waste stream and route lists.</t>
  </si>
  <si>
    <t>Waste Log</t>
  </si>
  <si>
    <t>One row per collection: weighbridge ticket, consignment note or invoice line.</t>
  </si>
  <si>
    <t>Dashboard</t>
  </si>
  <si>
    <t>Waste by stream and route, diversion rate, hazardous waste and net cost for the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</si>
  <si>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</si>
  <si>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</si>
  <si>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</si>
  <si>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</si>
  <si>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</si>
  <si>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</si>
  <si>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</si>
  <si>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</si>
  <si>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</si>
  <si>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</si>
  <si>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</si>
  <si>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</si>
  <si>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</si>
  <si>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</si>
  <si>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</si>
  <si>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</si>
  <si>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</si>
  <si>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</si>
  <si>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</si>
  <si>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</si>
  <si>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Environmental Landfill Diversion Rate Calculator on mfgcalcs.com</t>
  </si>
  <si>
    <t>Latest version</t>
  </si>
  <si>
    <t>mfgcalcs.com/templates/waste-diversion-tracker</t>
  </si>
  <si>
    <t>More free templates</t>
  </si>
  <si>
    <t>mfgcalcs.com/templates</t>
  </si>
  <si>
    <t>Version</t>
  </si>
  <si>
    <t>1.0.0 (updated 15 October 2026)</t>
  </si>
  <si>
    <t>About the example data</t>
  </si>
  <si>
    <t>Every number already in this workbook is example data for Northgate Packaging, a fictional business invented for this template, so the dashboard and charts show something meaningful on day one. It covers a corrugated box and printed film converter from October 2025 to September 2026: collections of eight waste streams by four haulers, generated from a fixed seed. Charges and rebates are example amounts, not any hauler's prices.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</si>
  <si>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</si>
  <si>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</si>
  <si>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</si>
  <si>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</si>
  <si>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</si>
  <si>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</si>
  <si>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</si>
  <si>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</si>
  <si>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Stream</t>
  </si>
  <si>
    <t>Material</t>
  </si>
  <si>
    <t>Hazardous</t>
  </si>
  <si>
    <t>Notes</t>
  </si>
  <si>
    <t>Route</t>
  </si>
  <si>
    <t>Class</t>
  </si>
  <si>
    <t>Plant, target and rules</t>
  </si>
  <si>
    <t>Plant or site name</t>
  </si>
  <si>
    <t>Northgate Packaging (example)</t>
  </si>
  <si>
    <t>Currency label</t>
  </si>
  <si>
    <t>USD</t>
  </si>
  <si>
    <t>Diversion target</t>
  </si>
  <si>
    <t>Count energy recovery as diverted?</t>
  </si>
  <si>
    <t>Yes</t>
  </si>
  <si>
    <t>Show Dashboard weights in</t>
  </si>
  <si>
    <t>t</t>
  </si>
  <si>
    <t>kg per report unit</t>
  </si>
  <si>
    <t>kg</t>
  </si>
  <si>
    <t>Targets are yours to set; nothing here assumes a benchmark. 'Near target' means within 5% of the target (76% to 80% against an 80% target). Weights convert exactly: 1 lb = 0.45359237 kg, 1 US ton = 907.18474 kg.</t>
  </si>
  <si>
    <t>Waste streams</t>
  </si>
  <si>
    <t>Waste streams (example)</t>
  </si>
  <si>
    <t>Corrugated offcuts</t>
  </si>
  <si>
    <t>Paper and board</t>
  </si>
  <si>
    <t>No</t>
  </si>
  <si>
    <t>Baled on site</t>
  </si>
  <si>
    <t>Paper cores and tubes</t>
  </si>
  <si>
    <t/>
  </si>
  <si>
    <t>Plastic film scrap</t>
  </si>
  <si>
    <t>Plastics</t>
  </si>
  <si>
    <t>LDPE and BOPP trim</t>
  </si>
  <si>
    <t>Wood pallets</t>
  </si>
  <si>
    <t>Wood</t>
  </si>
  <si>
    <t>Broken pallets; good ones go back to suppliers</t>
  </si>
  <si>
    <t>Steel strapping and scrap</t>
  </si>
  <si>
    <t>Metals</t>
  </si>
  <si>
    <t>Canteen food waste</t>
  </si>
  <si>
    <t>Organics</t>
  </si>
  <si>
    <t>Ink and solvent waste</t>
  </si>
  <si>
    <t>Chemicals</t>
  </si>
  <si>
    <t>Consigned as hazardous waste</t>
  </si>
  <si>
    <t>General waste</t>
  </si>
  <si>
    <t>Mixed</t>
  </si>
  <si>
    <t>Residual bin</t>
  </si>
  <si>
    <t>Routes and treatment classes</t>
  </si>
  <si>
    <t>Routes</t>
  </si>
  <si>
    <t>Every route belongs to one class. Material recovery (reuse, recycling, composting, digestion) always counts as diverted; energy recovery counts only if the setting above is Yes; disposal (landfill, incineration without energy recovery) never does.</t>
  </si>
  <si>
    <t>Reuse</t>
  </si>
  <si>
    <t>Material recovery</t>
  </si>
  <si>
    <t>Used again for the same purpose</t>
  </si>
  <si>
    <t>Recycling</t>
  </si>
  <si>
    <t>Reprocessed into material</t>
  </si>
  <si>
    <t>Composting or digestion</t>
  </si>
  <si>
    <t>Composting or anaerobic digestion</t>
  </si>
  <si>
    <t>Energy recovery</t>
  </si>
  <si>
    <t>Energy from waste, fuel blending</t>
  </si>
  <si>
    <t>Incineration</t>
  </si>
  <si>
    <t>Disposal</t>
  </si>
  <si>
    <t>Burned without energy recovery</t>
  </si>
  <si>
    <t>Landfill</t>
  </si>
  <si>
    <t>Date</t>
  </si>
  <si>
    <t>Ticket no.</t>
  </si>
  <si>
    <t>Hauler</t>
  </si>
  <si>
    <t>Weight</t>
  </si>
  <si>
    <t>Unit</t>
  </si>
  <si>
    <t>Charge</t>
  </si>
  <si>
    <t>Rebate</t>
  </si>
  <si>
    <t>Weight (kg)</t>
  </si>
  <si>
    <t>Diverted (kg)</t>
  </si>
  <si>
    <t>Net cost</t>
  </si>
  <si>
    <t>View date</t>
  </si>
  <si>
    <t>Check</t>
  </si>
  <si>
    <t>Example data for Northgate Packaging (fictional), with example charges and rebates. Replace it with your own: select the example rows, right-click, Delete &gt; Table Rows. Yellow = you type; blue = calculated; Check names any problem.</t>
  </si>
  <si>
    <t>T4101</t>
  </si>
  <si>
    <t>Ridge Fibre Recovery</t>
  </si>
  <si>
    <t>T4105</t>
  </si>
  <si>
    <t>T4106</t>
  </si>
  <si>
    <t>Metro Waste Services</t>
  </si>
  <si>
    <t>T4108</t>
  </si>
  <si>
    <t>Ashfield Timber</t>
  </si>
  <si>
    <t>T4109</t>
  </si>
  <si>
    <t>Ashfield Metals</t>
  </si>
  <si>
    <t>T4110</t>
  </si>
  <si>
    <t>T4112</t>
  </si>
  <si>
    <t>T4102</t>
  </si>
  <si>
    <t>T4107</t>
  </si>
  <si>
    <t>T4111</t>
  </si>
  <si>
    <t>T4113</t>
  </si>
  <si>
    <t>T4103</t>
  </si>
  <si>
    <t>T4114</t>
  </si>
  <si>
    <t>T4115</t>
  </si>
  <si>
    <t>T4104</t>
  </si>
  <si>
    <t>T4123</t>
  </si>
  <si>
    <t>T4124</t>
  </si>
  <si>
    <t>T4127</t>
  </si>
  <si>
    <t>Solvex Environmental</t>
  </si>
  <si>
    <t>T4121</t>
  </si>
  <si>
    <t>T4116</t>
  </si>
  <si>
    <t>T4120</t>
  </si>
  <si>
    <t>T4125</t>
  </si>
  <si>
    <t>T4128</t>
  </si>
  <si>
    <t>T4117</t>
  </si>
  <si>
    <t>T4122</t>
  </si>
  <si>
    <t>T4129</t>
  </si>
  <si>
    <t>T4126</t>
  </si>
  <si>
    <t>T4118</t>
  </si>
  <si>
    <t>T4130</t>
  </si>
  <si>
    <t>T4131</t>
  </si>
  <si>
    <t>T4119</t>
  </si>
  <si>
    <t>T4136</t>
  </si>
  <si>
    <t>T4139</t>
  </si>
  <si>
    <t>T4140</t>
  </si>
  <si>
    <t>T4137</t>
  </si>
  <si>
    <t>T4141</t>
  </si>
  <si>
    <t>T4132</t>
  </si>
  <si>
    <t>T4143</t>
  </si>
  <si>
    <t>T4133</t>
  </si>
  <si>
    <t>T4144</t>
  </si>
  <si>
    <t>T4138</t>
  </si>
  <si>
    <t>T4142</t>
  </si>
  <si>
    <t>T4134</t>
  </si>
  <si>
    <t>T4145</t>
  </si>
  <si>
    <t>T4146</t>
  </si>
  <si>
    <t>T4135</t>
  </si>
  <si>
    <t>T4154</t>
  </si>
  <si>
    <t>T4155</t>
  </si>
  <si>
    <t>T4156</t>
  </si>
  <si>
    <t>T4147</t>
  </si>
  <si>
    <t>T4152</t>
  </si>
  <si>
    <t>T4158</t>
  </si>
  <si>
    <t>T4151</t>
  </si>
  <si>
    <t>T4153</t>
  </si>
  <si>
    <t>T4157</t>
  </si>
  <si>
    <t>T4159</t>
  </si>
  <si>
    <t>T4148</t>
  </si>
  <si>
    <t>T4149</t>
  </si>
  <si>
    <t>T4160</t>
  </si>
  <si>
    <t>T4150</t>
  </si>
  <si>
    <t>T4161</t>
  </si>
  <si>
    <t>T4173</t>
  </si>
  <si>
    <t>T4174</t>
  </si>
  <si>
    <t>T4162</t>
  </si>
  <si>
    <t>T4167</t>
  </si>
  <si>
    <t>T4169</t>
  </si>
  <si>
    <t>T4171</t>
  </si>
  <si>
    <t>T4166</t>
  </si>
  <si>
    <t>T4170</t>
  </si>
  <si>
    <t>T4163</t>
  </si>
  <si>
    <t>T4168</t>
  </si>
  <si>
    <t>T4175</t>
  </si>
  <si>
    <t>T4172</t>
  </si>
  <si>
    <t>T4164</t>
  </si>
  <si>
    <t>T4176</t>
  </si>
  <si>
    <t>T4165</t>
  </si>
  <si>
    <t>T4177</t>
  </si>
  <si>
    <t>T4182</t>
  </si>
  <si>
    <t>T4185</t>
  </si>
  <si>
    <t>T4187</t>
  </si>
  <si>
    <t>T4183</t>
  </si>
  <si>
    <t>T4178</t>
  </si>
  <si>
    <t>T4186</t>
  </si>
  <si>
    <t>T4189</t>
  </si>
  <si>
    <t>T4179</t>
  </si>
  <si>
    <t>T4184</t>
  </si>
  <si>
    <t>T4188</t>
  </si>
  <si>
    <t>T4190</t>
  </si>
  <si>
    <t>T4191</t>
  </si>
  <si>
    <t>T4180</t>
  </si>
  <si>
    <t>T4192</t>
  </si>
  <si>
    <t>T4181</t>
  </si>
  <si>
    <t>T4204</t>
  </si>
  <si>
    <t>T4201</t>
  </si>
  <si>
    <t>T4202</t>
  </si>
  <si>
    <t>T4198</t>
  </si>
  <si>
    <t>First load to the film recycler</t>
  </si>
  <si>
    <t>T4200</t>
  </si>
  <si>
    <t>T4193</t>
  </si>
  <si>
    <t>T4197</t>
  </si>
  <si>
    <t>T4194</t>
  </si>
  <si>
    <t>T4205</t>
  </si>
  <si>
    <t>T4203</t>
  </si>
  <si>
    <t>T4199</t>
  </si>
  <si>
    <t>T4195</t>
  </si>
  <si>
    <t>T4206</t>
  </si>
  <si>
    <t>T4196</t>
  </si>
  <si>
    <t>T4207</t>
  </si>
  <si>
    <t>T4208</t>
  </si>
  <si>
    <t>T4219</t>
  </si>
  <si>
    <t>T4220</t>
  </si>
  <si>
    <t>T4213</t>
  </si>
  <si>
    <t>T4217</t>
  </si>
  <si>
    <t>T4215</t>
  </si>
  <si>
    <t>T4216</t>
  </si>
  <si>
    <t>T4212</t>
  </si>
  <si>
    <t>T4214</t>
  </si>
  <si>
    <t>T4218</t>
  </si>
  <si>
    <t>T4209</t>
  </si>
  <si>
    <t>T4221</t>
  </si>
  <si>
    <t>T4210</t>
  </si>
  <si>
    <t>T4222</t>
  </si>
  <si>
    <t>T4211</t>
  </si>
  <si>
    <t>T4223</t>
  </si>
  <si>
    <t>T4229</t>
  </si>
  <si>
    <t>T4231</t>
  </si>
  <si>
    <t>T4232</t>
  </si>
  <si>
    <t>T4224</t>
  </si>
  <si>
    <t>T4228</t>
  </si>
  <si>
    <t>T4233</t>
  </si>
  <si>
    <t>T4235</t>
  </si>
  <si>
    <t>T4225</t>
  </si>
  <si>
    <t>T4230</t>
  </si>
  <si>
    <t>T4234</t>
  </si>
  <si>
    <t>T4236</t>
  </si>
  <si>
    <t>T4226</t>
  </si>
  <si>
    <t>T4237</t>
  </si>
  <si>
    <t>T4227</t>
  </si>
  <si>
    <t>T4238</t>
  </si>
  <si>
    <t>T4243</t>
  </si>
  <si>
    <t>T4244</t>
  </si>
  <si>
    <t>T4248</t>
  </si>
  <si>
    <t>T4239</t>
  </si>
  <si>
    <t>T4250</t>
  </si>
  <si>
    <t>T4247</t>
  </si>
  <si>
    <t>T4246</t>
  </si>
  <si>
    <t>T4251</t>
  </si>
  <si>
    <t>T4245</t>
  </si>
  <si>
    <t>T4240</t>
  </si>
  <si>
    <t>T4249</t>
  </si>
  <si>
    <t>T4252</t>
  </si>
  <si>
    <t>T4241</t>
  </si>
  <si>
    <t>T4242</t>
  </si>
  <si>
    <t>T4253</t>
  </si>
  <si>
    <t>T4254</t>
  </si>
  <si>
    <t>T4266</t>
  </si>
  <si>
    <t>T4261</t>
  </si>
  <si>
    <t>T4262</t>
  </si>
  <si>
    <t>T4263</t>
  </si>
  <si>
    <t>T4265</t>
  </si>
  <si>
    <t>T4258</t>
  </si>
  <si>
    <t>T4259</t>
  </si>
  <si>
    <t>T4255</t>
  </si>
  <si>
    <t>T4264</t>
  </si>
  <si>
    <t>T4267</t>
  </si>
  <si>
    <t>T4260</t>
  </si>
  <si>
    <t>T4256</t>
  </si>
  <si>
    <t>T4268</t>
  </si>
  <si>
    <t>T4269</t>
  </si>
  <si>
    <t>T4257</t>
  </si>
  <si>
    <t>T4279</t>
  </si>
  <si>
    <t>T4281</t>
  </si>
  <si>
    <t>T4270</t>
  </si>
  <si>
    <t>T4274</t>
  </si>
  <si>
    <t>T4275</t>
  </si>
  <si>
    <t>T4277</t>
  </si>
  <si>
    <t>T4278</t>
  </si>
  <si>
    <t>T4271</t>
  </si>
  <si>
    <t>T4276</t>
  </si>
  <si>
    <t>T4282</t>
  </si>
  <si>
    <t>T4280</t>
  </si>
  <si>
    <t>T4283</t>
  </si>
  <si>
    <t>T4272</t>
  </si>
  <si>
    <t>T4284</t>
  </si>
  <si>
    <t>T4273</t>
  </si>
  <si>
    <t>From</t>
  </si>
  <si>
    <t>To</t>
  </si>
  <si>
    <t>DIVERSION RATE</t>
  </si>
  <si>
    <t>All streams and routes in view</t>
  </si>
  <si>
    <t>Landfill and incineration</t>
  </si>
  <si>
    <t>Streams marked hazardous</t>
  </si>
  <si>
    <t>LARGEST STREAM BY WEIGHT</t>
  </si>
  <si>
    <t>Charges minus rebates</t>
  </si>
  <si>
    <t>Paid to you for material</t>
  </si>
  <si>
    <t>Net cost / total weight</t>
  </si>
  <si>
    <t>See the stream table</t>
  </si>
  <si>
    <t>By month (latest 12 months in view)</t>
  </si>
  <si>
    <t>Month</t>
  </si>
  <si>
    <t>Total</t>
  </si>
  <si>
    <t>Diversion rate</t>
  </si>
  <si>
    <t>Target</t>
  </si>
  <si>
    <t>%</t>
  </si>
  <si>
    <t>By stream</t>
  </si>
  <si>
    <t>Diverted</t>
  </si>
  <si>
    <t>Not diverted</t>
  </si>
  <si>
    <t>Charges</t>
  </si>
  <si>
    <t>Rebates</t>
  </si>
  <si>
    <t>By route</t>
  </si>
  <si>
    <t>Streams by weight (Pareto)</t>
  </si>
  <si>
    <t>Share</t>
  </si>
  <si>
    <t>Rank</t>
  </si>
  <si>
    <t>Cumulative</t>
  </si>
  <si>
    <t>Helper: Stream (list order)</t>
  </si>
  <si>
    <t>Helper: value (-1 = unused slot)</t>
  </si>
  <si>
    <t>Helper: rank, ties by list order</t>
  </si>
  <si>
    <t>The Dashboard shows the 8 streams and 6 routes of the Setup lists. If you add more, extend the 'By stream', 'By route' and Pareto blocks (see Method) or they will not appear here; the totals still count them.</t>
  </si>
  <si>
    <t>What this workbook calculates</t>
  </si>
  <si>
    <t>The landfill diversion rate is the share of all waste generated that was kept out of disposal. This workbook builds it from one row per collection: each weight is converted to kg exactly, each route belongs to a treatment class on Setup, and a row's weight counts as diverted when its class is material recovery, or energy recovery if Setup says energy recovery counts. Every Dashboard figure sums kilograms and forms ratios from the sums, never averages of percentages.</t>
  </si>
  <si>
    <t>Calculations</t>
  </si>
  <si>
    <t>Quantity</t>
  </si>
  <si>
    <t>How it is calculated</t>
  </si>
  <si>
    <t>Units</t>
  </si>
  <si>
    <t>Weight x 1 (kg), 1000 (t), 0.45359237 (lb) or 907.18474 (US ton).</t>
  </si>
  <si>
    <t>Class, Hazardous</t>
  </si>
  <si>
    <t>Looked up from the Routes and Streams lists on Setup (INDEX/MATCH).</t>
  </si>
  <si>
    <t>-</t>
  </si>
  <si>
    <t>Weight (kg) when the class is Material recovery, or Energy recovery and Setup counts it; otherwise 0.</t>
  </si>
  <si>
    <t>Charge - rebate for the collection. Negative when the material earned more than it cost.</t>
  </si>
  <si>
    <t>currency</t>
  </si>
  <si>
    <t>Sum of diverted kg / sum of weight (kg) for the rows in view (month, stream or the whole range).</t>
  </si>
  <si>
    <t>Report-unit weights</t>
  </si>
  <si>
    <t>kg / 1000 for t, or kg / 907.18474 for US ton (Setup). Display only.</t>
  </si>
  <si>
    <t>t or US ton</t>
  </si>
  <si>
    <t>Net cost per report unit</t>
  </si>
  <si>
    <t>Sum of net cost / total weight in the report unit.</t>
  </si>
  <si>
    <t>currency/t</t>
  </si>
  <si>
    <t>Roll-ups</t>
  </si>
  <si>
    <t>SUMIFS over rows whose View date is filled in (inside the From and To dates), by month, stream and route. The Pareto ranks streams with COUNTIF (helper columns AN:AP, hidden).</t>
  </si>
  <si>
    <t>Assumptions</t>
  </si>
  <si>
    <t>The weight on the ticket is the net weight of the waste (container tare removed).</t>
  </si>
  <si>
    <t>Each collection goes to one route; a mixed load sorted at a transfer station takes the route the hauler reports for it.</t>
  </si>
  <si>
    <t>Total waste generated = everything collected; material reused on site without a collection is not counted.</t>
  </si>
  <si>
    <t>Limitations</t>
  </si>
  <si>
    <t>The diversion rate depends on the class you give each route and the energy recovery setting; state both when you report it.</t>
  </si>
  <si>
    <t>Hauler reports of recycling rates at mixed facilities are taken as given; ask for downstream evidence when it matters.</t>
  </si>
  <si>
    <t>The Dashboard has fixed blocks for 8 streams, 6 routes and 12 months; longer lists need the blocks extended (a warning appears).</t>
  </si>
  <si>
    <t>Agreement with the live calculator</t>
  </si>
  <si>
    <t>The live Environmental Landfill Diversion Rate calculator divides waste diverted from landfill by total waste generated and reports the gap to a target in percentage points. The Dashboard's diversion rate is the same ratio, formed from the summed rows; the workbook adds the conversion of each ticket's unit, the treatment class rule and the costs. The template's reference implementation is checked against the calculator's engine for its default example (680 of 850 tons against 90%: 80%, 10 points short) and for one example month on every build.</t>
  </si>
  <si>
    <t>Open the Environmental Landfill Diversion Rate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</si>
  <si>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</si>
  <si>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</si>
  <si>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EU Waste Framework Directive 2008/98/EC, Article 4: the waste hierarchy (prevention, reuse, recycling, other recovery, disposal).</t>
  </si>
  <si>
    <t>US EPA, Sustainable Materials Management: the waste management hierarchy (named only).</t>
  </si>
  <si>
    <t>UL 2799, Zero Waste to Landfill environmental claim validation (named only; it sets its own rules for energy recovery).</t>
  </si>
  <si>
    <t>MFG Calcs Environmental Landfill Diversion Rate calculator: diverted / total x 100, gap to target.</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</si>
  <si>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</si>
  <si>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</si>
  <si>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</si>
  <si>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</si>
  <si>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</si>
  <si>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</si>
  <si>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</si>
  <si>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</si>
  <si>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</si>
  <si>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</si>
  <si>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</si>
  <si>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</si>
  <si>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</si>
  <si>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</si>
  <si>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</si>
  <si>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weight 600 t in kg</t>
  </si>
  <si>
    <t>Row 2: weight 80 t in kg</t>
  </si>
  <si>
    <t>Row 3: weight 170 t in kg</t>
  </si>
  <si>
    <t>Row 4: weight 2000 lb in kg</t>
  </si>
  <si>
    <t>Row 5: weight 1.5 US ton in kg</t>
  </si>
  <si>
    <t>Row 2: energy recovery counts as diverted (setting Yes)</t>
  </si>
  <si>
    <t>Row 3: landfill is not diverted</t>
  </si>
  <si>
    <t>Row 1: net cost of a rebated load</t>
  </si>
  <si>
    <t>Row 6: Check reports hazardous waste to landfill</t>
  </si>
  <si>
    <t>Hazardous to landfill: check permit</t>
  </si>
  <si>
    <t>exact</t>
  </si>
  <si>
    <t>Rows 1-3 (calculator example, 680 of 850 t): diversion rate</t>
  </si>
  <si>
    <t>All rows: diversion rate (Dashboard formula)</t>
  </si>
  <si>
    <t>All rows: total weight (t)</t>
  </si>
  <si>
    <t>All rows: sent to disposal (t)</t>
  </si>
  <si>
    <t>All rows: hazardous waste (t)</t>
  </si>
  <si>
    <t>All rows: net cost</t>
  </si>
  <si>
    <t>All rows: net cost per t</t>
  </si>
  <si>
    <t>Fixed test inputs</t>
  </si>
  <si>
    <t>White cells are fixed test inputs; blue cells are the workbook's formulas evaluated on them.</t>
  </si>
  <si>
    <t>Parameters</t>
  </si>
  <si>
    <t>Filter: from (0 = no limit)</t>
  </si>
  <si>
    <t>Filter: to (2958465 = no limit)</t>
  </si>
  <si>
    <t>Energy recovery counts as diverted</t>
  </si>
  <si>
    <t>kg per report unit (t)</t>
  </si>
  <si>
    <t>Test table: Waste</t>
  </si>
  <si>
    <t>A1</t>
  </si>
  <si>
    <t>Board</t>
  </si>
  <si>
    <t>A2</t>
  </si>
  <si>
    <t>Solvent</t>
  </si>
  <si>
    <t>A3</t>
  </si>
  <si>
    <t>General</t>
  </si>
  <si>
    <t>A4</t>
  </si>
  <si>
    <t>Metal</t>
  </si>
  <si>
    <t>lb</t>
  </si>
  <si>
    <t>A5</t>
  </si>
  <si>
    <t>US ton</t>
  </si>
  <si>
    <t>A6</t>
  </si>
</sst>
</file>

<file path=xl/styles.xml><?xml version="1.0" encoding="utf-8"?>
<styleSheet xmlns="http://schemas.openxmlformats.org/spreadsheetml/2006/main">
  <numFmts count="10">
    <numFmt numFmtId="164" formatCode="0.0%"/>
    <numFmt numFmtId="165" formatCode="#,##0.00"/>
    <numFmt numFmtId="166" formatCode="d mmm yyyy"/>
    <numFmt numFmtId="167" formatCode="#,##0.0"/>
    <numFmt numFmtId="168" formatCode="&quot;Target &quot;0.0%"/>
    <numFmt numFmtId="169" formatCode="#,##0"/>
    <numFmt numFmtId="170" formatCode="mmm yyyy"/>
    <numFmt numFmtId="171" formatCode="#,##0.000"/>
    <numFmt numFmtId="172" formatCode="0.0E+00"/>
    <numFmt numFmtId="173" formatCode="0.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b/>
      <sz val="16"/>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82">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4" borderId="3" xfId="0" applyNumberFormat="1" applyFont="1" applyFill="1" applyBorder="1" applyAlignment="1">
      <alignment vertical="center"/>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20" fillId="0" borderId="0" xfId="0" applyFont="1" applyAlignment="1">
      <alignment horizontal="center" vertical="center"/>
    </xf>
    <xf numFmtId="166"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0" fontId="10" fillId="4" borderId="3" xfId="0" applyFont="1" applyFill="1" applyBorder="1" applyAlignment="1">
      <alignment vertical="center"/>
    </xf>
    <xf numFmtId="166" fontId="10" fillId="4" borderId="3" xfId="0" applyNumberFormat="1" applyFont="1" applyFill="1" applyBorder="1" applyAlignment="1">
      <alignment vertical="center"/>
    </xf>
    <xf numFmtId="0" fontId="21" fillId="4" borderId="3" xfId="0" applyFont="1" applyFill="1" applyBorder="1" applyAlignment="1">
      <alignment vertical="center"/>
    </xf>
    <xf numFmtId="166" fontId="10" fillId="3" borderId="2" xfId="0" applyNumberFormat="1" applyFont="1" applyFill="1" applyBorder="1" applyAlignment="1" applyProtection="1">
      <alignment horizontal="left" vertical="center"/>
      <protection locked="0"/>
    </xf>
    <xf numFmtId="0" fontId="20" fillId="0" borderId="0" xfId="0" applyFont="1" applyAlignment="1">
      <alignment vertical="center"/>
    </xf>
    <xf numFmtId="0" fontId="22" fillId="9" borderId="6" xfId="0" applyFont="1" applyFill="1" applyBorder="1" applyAlignment="1">
      <alignment vertical="center" wrapText="1"/>
    </xf>
    <xf numFmtId="167" fontId="4" fillId="9" borderId="7" xfId="0" applyNumberFormat="1" applyFont="1" applyFill="1" applyBorder="1" applyAlignment="1">
      <alignment horizontal="left" vertical="center"/>
    </xf>
    <xf numFmtId="164"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68"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69" fontId="4" fillId="9" borderId="7" xfId="0" applyNumberFormat="1" applyFont="1" applyFill="1" applyBorder="1" applyAlignment="1">
      <alignment horizontal="left" vertical="center"/>
    </xf>
    <xf numFmtId="0" fontId="24" fillId="9" borderId="7" xfId="0" applyFont="1" applyFill="1" applyBorder="1" applyAlignment="1">
      <alignment horizontal="left" vertical="center"/>
    </xf>
    <xf numFmtId="0" fontId="18" fillId="2" borderId="5" xfId="0" applyFont="1" applyFill="1" applyBorder="1" applyAlignment="1">
      <alignment horizontal="left" vertical="center" wrapText="1"/>
    </xf>
    <xf numFmtId="170" fontId="9" fillId="0" borderId="9" xfId="0" applyNumberFormat="1" applyFont="1" applyBorder="1" applyAlignment="1">
      <alignment vertical="center"/>
    </xf>
    <xf numFmtId="164"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164" fontId="10" fillId="0" borderId="9" xfId="0" applyNumberFormat="1" applyFont="1" applyBorder="1" applyAlignment="1">
      <alignment vertical="center"/>
    </xf>
    <xf numFmtId="0" fontId="9" fillId="0" borderId="9" xfId="0" applyFont="1" applyBorder="1" applyAlignment="1">
      <alignment vertical="center"/>
    </xf>
    <xf numFmtId="169" fontId="9" fillId="0" borderId="9" xfId="0" applyNumberFormat="1" applyFont="1" applyBorder="1" applyAlignment="1">
      <alignment horizontal="center" vertical="center"/>
    </xf>
    <xf numFmtId="167" fontId="10" fillId="0" borderId="0" xfId="0" applyNumberFormat="1" applyFont="1" applyAlignment="1">
      <alignment vertical="center"/>
    </xf>
    <xf numFmtId="169" fontId="10" fillId="0" borderId="0" xfId="0" applyNumberFormat="1" applyFont="1" applyAlignment="1">
      <alignment vertical="center"/>
    </xf>
    <xf numFmtId="0" fontId="9" fillId="4" borderId="10" xfId="0" applyFont="1" applyFill="1" applyBorder="1" applyAlignment="1">
      <alignment vertical="center"/>
    </xf>
    <xf numFmtId="167"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71" fontId="10" fillId="0" borderId="9" xfId="0" applyNumberFormat="1" applyFont="1" applyBorder="1" applyAlignment="1">
      <alignment vertical="center"/>
    </xf>
    <xf numFmtId="171" fontId="10" fillId="4" borderId="3" xfId="0" applyNumberFormat="1" applyFont="1" applyFill="1" applyBorder="1" applyAlignment="1">
      <alignment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0" fontId="10" fillId="4" borderId="3" xfId="0" applyFont="1" applyFill="1" applyBorder="1" applyAlignment="1">
      <alignment horizontal="center" vertical="center"/>
    </xf>
    <xf numFmtId="167" fontId="10" fillId="0" borderId="9" xfId="0" applyNumberFormat="1" applyFont="1" applyBorder="1" applyAlignment="1">
      <alignment vertical="center"/>
    </xf>
    <xf numFmtId="165" fontId="10" fillId="0" borderId="9" xfId="0" applyNumberFormat="1" applyFont="1" applyBorder="1" applyAlignment="1">
      <alignment vertical="center"/>
    </xf>
    <xf numFmtId="173" fontId="10" fillId="0" borderId="9" xfId="0" applyNumberFormat="1" applyFont="1" applyBorder="1" applyAlignment="1">
      <alignment vertical="center"/>
    </xf>
    <xf numFmtId="173" fontId="10" fillId="4" borderId="3" xfId="0" applyNumberFormat="1" applyFont="1" applyFill="1" applyBorder="1" applyAlignment="1">
      <alignment vertical="center"/>
    </xf>
    <xf numFmtId="169" fontId="10" fillId="0" borderId="9" xfId="0" applyNumberFormat="1" applyFont="1" applyBorder="1" applyAlignment="1">
      <alignment vertical="center"/>
    </xf>
    <xf numFmtId="166"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Waste by month and treatment class</a:t>
            </a:r>
          </a:p>
        </c:rich>
      </c:tx>
      <c:layout/>
    </c:title>
    <c:plotArea>
      <c:layout/>
      <c:barChart>
        <c:barDir val="col"/>
        <c:grouping val="stacked"/>
        <c:ser>
          <c:idx val="0"/>
          <c:order val="0"/>
          <c:tx>
            <c:v>Material recovery</c:v>
          </c:tx>
          <c:spPr>
            <a:solidFill>
              <a:srgbClr val="3B64D8"/>
            </a:solidFill>
            <a:ln w="9525">
              <a:solidFill>
                <a:srgbClr val="FFFFFF"/>
              </a:solidFill>
            </a:ln>
          </c:spPr>
          <c:cat>
            <c:numRef>
              <c:f>Dashboard!$B$54:$B$65</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Dashboard!$D$54:$D$65</c:f>
              <c:numCache>
                <c:formatCode>General</c:formatCode>
                <c:ptCount val="12"/>
                <c:pt idx="0">
                  <c:v>25.58</c:v>
                </c:pt>
                <c:pt idx="1">
                  <c:v>25.26</c:v>
                </c:pt>
                <c:pt idx="2">
                  <c:v>26.69</c:v>
                </c:pt>
                <c:pt idx="3">
                  <c:v>23.65</c:v>
                </c:pt>
                <c:pt idx="4">
                  <c:v>24.28</c:v>
                </c:pt>
                <c:pt idx="5">
                  <c:v>26.13</c:v>
                </c:pt>
                <c:pt idx="6">
                  <c:v>29.87</c:v>
                </c:pt>
                <c:pt idx="7">
                  <c:v>29.8</c:v>
                </c:pt>
                <c:pt idx="8">
                  <c:v>32.61</c:v>
                </c:pt>
                <c:pt idx="9">
                  <c:v>30.83</c:v>
                </c:pt>
                <c:pt idx="10">
                  <c:v>29.71</c:v>
                </c:pt>
                <c:pt idx="11">
                  <c:v>30.51</c:v>
                </c:pt>
              </c:numCache>
            </c:numRef>
          </c:val>
        </c:ser>
        <c:ser>
          <c:idx val="1"/>
          <c:order val="1"/>
          <c:tx>
            <c:v>Energy recovery</c:v>
          </c:tx>
          <c:spPr>
            <a:solidFill>
              <a:srgbClr val="E8702A"/>
            </a:solidFill>
            <a:ln w="9525">
              <a:solidFill>
                <a:srgbClr val="FFFFFF"/>
              </a:solidFill>
            </a:ln>
          </c:spPr>
          <c:cat>
            <c:numRef>
              <c:f>Dashboard!$B$54:$B$65</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Dashboard!$E$54:$E$65</c:f>
              <c:numCache>
                <c:formatCode>General</c:formatCode>
                <c:ptCount val="12"/>
                <c:pt idx="0">
                  <c:v>0</c:v>
                </c:pt>
                <c:pt idx="1">
                  <c:v>1.56</c:v>
                </c:pt>
                <c:pt idx="2">
                  <c:v>0</c:v>
                </c:pt>
                <c:pt idx="3">
                  <c:v>0</c:v>
                </c:pt>
                <c:pt idx="4">
                  <c:v>1.45</c:v>
                </c:pt>
                <c:pt idx="5">
                  <c:v>0</c:v>
                </c:pt>
                <c:pt idx="6">
                  <c:v>0</c:v>
                </c:pt>
                <c:pt idx="7">
                  <c:v>1.49</c:v>
                </c:pt>
                <c:pt idx="8">
                  <c:v>0</c:v>
                </c:pt>
                <c:pt idx="9">
                  <c:v>0</c:v>
                </c:pt>
                <c:pt idx="10">
                  <c:v>1.36</c:v>
                </c:pt>
                <c:pt idx="11">
                  <c:v>0</c:v>
                </c:pt>
              </c:numCache>
            </c:numRef>
          </c:val>
        </c:ser>
        <c:ser>
          <c:idx val="2"/>
          <c:order val="2"/>
          <c:tx>
            <c:v>Disposal</c:v>
          </c:tx>
          <c:spPr>
            <a:solidFill>
              <a:srgbClr val="6B7280"/>
            </a:solidFill>
            <a:ln w="9525">
              <a:solidFill>
                <a:srgbClr val="FFFFFF"/>
              </a:solidFill>
            </a:ln>
          </c:spPr>
          <c:cat>
            <c:numRef>
              <c:f>Dashboard!$B$54:$B$65</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Dashboard!$F$54:$F$65</c:f>
              <c:numCache>
                <c:formatCode>General</c:formatCode>
                <c:ptCount val="12"/>
                <c:pt idx="0">
                  <c:v>13.35</c:v>
                </c:pt>
                <c:pt idx="1">
                  <c:v>14.51</c:v>
                </c:pt>
                <c:pt idx="2">
                  <c:v>15.02</c:v>
                </c:pt>
                <c:pt idx="3">
                  <c:v>13.81</c:v>
                </c:pt>
                <c:pt idx="4">
                  <c:v>15.27</c:v>
                </c:pt>
                <c:pt idx="5">
                  <c:v>14.99</c:v>
                </c:pt>
                <c:pt idx="6">
                  <c:v>7.77</c:v>
                </c:pt>
                <c:pt idx="7">
                  <c:v>8.43</c:v>
                </c:pt>
                <c:pt idx="8">
                  <c:v>7.28</c:v>
                </c:pt>
                <c:pt idx="9">
                  <c:v>7.83</c:v>
                </c:pt>
                <c:pt idx="10">
                  <c:v>7.23</c:v>
                </c:pt>
                <c:pt idx="11">
                  <c:v>7.53</c:v>
                </c:pt>
              </c:numCache>
            </c:numRef>
          </c:val>
        </c:ser>
        <c:gapWidth val="60"/>
        <c:overlap val="100"/>
        <c:axId val="50010001"/>
        <c:axId val="50010002"/>
      </c:barChart>
      <c:catAx>
        <c:axId val="5001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Diversion rate by month</a:t>
            </a:r>
          </a:p>
        </c:rich>
      </c:tx>
      <c:layout/>
    </c:title>
    <c:plotArea>
      <c:layout/>
      <c:barChart>
        <c:barDir val="col"/>
        <c:grouping val="clustered"/>
        <c:ser>
          <c:idx val="0"/>
          <c:order val="0"/>
          <c:tx>
            <c:v>Diversion rate</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Dashboard!$B$54:$B$65</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Dashboard!$G$54:$G$65</c:f>
              <c:numCache>
                <c:formatCode>General</c:formatCode>
                <c:ptCount val="12"/>
                <c:pt idx="0">
                  <c:v>0.657076804520935</c:v>
                </c:pt>
                <c:pt idx="1">
                  <c:v>0.648923300266151</c:v>
                </c:pt>
                <c:pt idx="2">
                  <c:v>0.639894509709902</c:v>
                </c:pt>
                <c:pt idx="3">
                  <c:v>0.631340096102509</c:v>
                </c:pt>
                <c:pt idx="4">
                  <c:v>0.627560975609756</c:v>
                </c:pt>
                <c:pt idx="5">
                  <c:v>0.63545719844358</c:v>
                </c:pt>
                <c:pt idx="6">
                  <c:v>0.793570669500531</c:v>
                </c:pt>
                <c:pt idx="7">
                  <c:v>0.787764350453172</c:v>
                </c:pt>
                <c:pt idx="8">
                  <c:v>0.817498119829531</c:v>
                </c:pt>
                <c:pt idx="9">
                  <c:v>0.797465080186239</c:v>
                </c:pt>
                <c:pt idx="10">
                  <c:v>0.811227154046997</c:v>
                </c:pt>
                <c:pt idx="11">
                  <c:v>0.80205047318612</c:v>
                </c:pt>
              </c:numCache>
            </c:numRef>
          </c:val>
        </c:ser>
        <c:gapWidth val="60"/>
        <c:overlap val="-10"/>
        <c:axId val="50020001"/>
        <c:axId val="50020002"/>
      </c:barChart>
      <c:lineChart>
        <c:grouping val="standard"/>
        <c:ser>
          <c:idx val="1"/>
          <c:order val="1"/>
          <c:tx>
            <c:v>Target</c:v>
          </c:tx>
          <c:spPr>
            <a:ln w="19050">
              <a:solidFill>
                <a:srgbClr val="4A5361"/>
              </a:solidFill>
              <a:prstDash val="dash"/>
            </a:ln>
          </c:spPr>
          <c:marker>
            <c:symbol val="none"/>
          </c:marker>
          <c:cat>
            <c:numRef>
              <c:f>Dashboard!$B$54:$B$65</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Dashboard!$I$54:$I$65</c:f>
              <c:numCache>
                <c:formatCode>General</c:formatCode>
                <c:ptCount val="12"/>
                <c:pt idx="0">
                  <c:v>0.8</c:v>
                </c:pt>
                <c:pt idx="1">
                  <c:v>0.8</c:v>
                </c:pt>
                <c:pt idx="2">
                  <c:v>0.8</c:v>
                </c:pt>
                <c:pt idx="3">
                  <c:v>0.8</c:v>
                </c:pt>
                <c:pt idx="4">
                  <c:v>0.8</c:v>
                </c:pt>
                <c:pt idx="5">
                  <c:v>0.8</c:v>
                </c:pt>
                <c:pt idx="6">
                  <c:v>0.8</c:v>
                </c:pt>
                <c:pt idx="7">
                  <c:v>0.8</c:v>
                </c:pt>
                <c:pt idx="8">
                  <c:v>0.8</c:v>
                </c:pt>
                <c:pt idx="9">
                  <c:v>0.8</c:v>
                </c:pt>
                <c:pt idx="10">
                  <c:v>0.8</c:v>
                </c:pt>
                <c:pt idx="11">
                  <c:v>0.8</c:v>
                </c:pt>
              </c:numCache>
            </c:numRef>
          </c:val>
        </c:ser>
        <c:marker val="1"/>
        <c:axId val="50020001"/>
        <c:axId val="50020002"/>
      </c:lineChart>
      <c:catAx>
        <c:axId val="5002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ax val="1"/>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Diverted and not diverted, by stream</a:t>
            </a:r>
          </a:p>
        </c:rich>
      </c:tx>
      <c:layout/>
    </c:title>
    <c:plotArea>
      <c:layout/>
      <c:barChart>
        <c:barDir val="bar"/>
        <c:grouping val="stacked"/>
        <c:ser>
          <c:idx val="0"/>
          <c:order val="0"/>
          <c:tx>
            <c:v>Diverted</c:v>
          </c:tx>
          <c:spPr>
            <a:solidFill>
              <a:srgbClr val="3B64D8"/>
            </a:solidFill>
            <a:ln w="9525">
              <a:solidFill>
                <a:srgbClr val="FFFFFF"/>
              </a:solidFill>
            </a:ln>
          </c:spPr>
          <c:cat>
            <c:strRef>
              <c:f>Dashboard!$B$70:$B$77</c:f>
              <c:strCache>
                <c:ptCount val="8"/>
                <c:pt idx="0">
                  <c:v>Corrugated offcuts</c:v>
                </c:pt>
                <c:pt idx="1">
                  <c:v>Paper cores and tubes</c:v>
                </c:pt>
                <c:pt idx="2">
                  <c:v>Plastic film scrap</c:v>
                </c:pt>
                <c:pt idx="3">
                  <c:v>Wood pallets</c:v>
                </c:pt>
                <c:pt idx="4">
                  <c:v>Steel strapping and scrap</c:v>
                </c:pt>
                <c:pt idx="5">
                  <c:v>Canteen food waste</c:v>
                </c:pt>
                <c:pt idx="6">
                  <c:v>Ink and solvent waste</c:v>
                </c:pt>
                <c:pt idx="7">
                  <c:v>General waste</c:v>
                </c:pt>
              </c:strCache>
            </c:strRef>
          </c:cat>
          <c:val>
            <c:numRef>
              <c:f>Dashboard!$D$70:$D$77</c:f>
              <c:numCache>
                <c:formatCode>General</c:formatCode>
                <c:ptCount val="8"/>
                <c:pt idx="0">
                  <c:v>251.59</c:v>
                </c:pt>
                <c:pt idx="1">
                  <c:v>10.41</c:v>
                </c:pt>
                <c:pt idx="2">
                  <c:v>31.68</c:v>
                </c:pt>
                <c:pt idx="3">
                  <c:v>21.88</c:v>
                </c:pt>
                <c:pt idx="4">
                  <c:v>12.9</c:v>
                </c:pt>
                <c:pt idx="5">
                  <c:v>6.46</c:v>
                </c:pt>
                <c:pt idx="6">
                  <c:v>5.86</c:v>
                </c:pt>
                <c:pt idx="7">
                  <c:v>0</c:v>
                </c:pt>
              </c:numCache>
            </c:numRef>
          </c:val>
        </c:ser>
        <c:ser>
          <c:idx val="1"/>
          <c:order val="1"/>
          <c:tx>
            <c:v>Not diverted</c:v>
          </c:tx>
          <c:spPr>
            <a:solidFill>
              <a:srgbClr val="6B7280"/>
            </a:solidFill>
            <a:ln w="9525">
              <a:solidFill>
                <a:srgbClr val="FFFFFF"/>
              </a:solidFill>
            </a:ln>
          </c:spPr>
          <c:cat>
            <c:strRef>
              <c:f>Dashboard!$B$70:$B$77</c:f>
              <c:strCache>
                <c:ptCount val="8"/>
                <c:pt idx="0">
                  <c:v>Corrugated offcuts</c:v>
                </c:pt>
                <c:pt idx="1">
                  <c:v>Paper cores and tubes</c:v>
                </c:pt>
                <c:pt idx="2">
                  <c:v>Plastic film scrap</c:v>
                </c:pt>
                <c:pt idx="3">
                  <c:v>Wood pallets</c:v>
                </c:pt>
                <c:pt idx="4">
                  <c:v>Steel strapping and scrap</c:v>
                </c:pt>
                <c:pt idx="5">
                  <c:v>Canteen food waste</c:v>
                </c:pt>
                <c:pt idx="6">
                  <c:v>Ink and solvent waste</c:v>
                </c:pt>
                <c:pt idx="7">
                  <c:v>General waste</c:v>
                </c:pt>
              </c:strCache>
            </c:strRef>
          </c:cat>
          <c:val>
            <c:numRef>
              <c:f>Dashboard!$E$70:$E$77</c:f>
              <c:numCache>
                <c:formatCode>General</c:formatCode>
                <c:ptCount val="8"/>
                <c:pt idx="0">
                  <c:v>0</c:v>
                </c:pt>
                <c:pt idx="1">
                  <c:v>0</c:v>
                </c:pt>
                <c:pt idx="2">
                  <c:v>30.3</c:v>
                </c:pt>
                <c:pt idx="3">
                  <c:v>0</c:v>
                </c:pt>
                <c:pt idx="4">
                  <c:v>0</c:v>
                </c:pt>
                <c:pt idx="5">
                  <c:v>0</c:v>
                </c:pt>
                <c:pt idx="6">
                  <c:v>0</c:v>
                </c:pt>
                <c:pt idx="7">
                  <c:v>102.72</c:v>
                </c:pt>
              </c:numCache>
            </c:numRef>
          </c:val>
        </c:ser>
        <c:gapWidth val="60"/>
        <c:overlap val="100"/>
        <c:axId val="50030001"/>
        <c:axId val="50030002"/>
      </c:barChart>
      <c:catAx>
        <c:axId val="5003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Net cost by stream (rebates below zero)</a:t>
            </a:r>
          </a:p>
        </c:rich>
      </c:tx>
      <c:layout/>
    </c:title>
    <c:plotArea>
      <c:layout/>
      <c:barChart>
        <c:barDir val="bar"/>
        <c:grouping val="clustered"/>
        <c:ser>
          <c:idx val="0"/>
          <c:order val="0"/>
          <c:tx>
            <c:v>Net cost</c:v>
          </c:tx>
          <c:spPr>
            <a:solidFill>
              <a:srgbClr val="3B64D8"/>
            </a:solidFill>
            <a:ln w="9525">
              <a:solidFill>
                <a:srgbClr val="FFFFFF"/>
              </a:solidFill>
            </a:ln>
          </c:spPr>
          <c:cat>
            <c:strRef>
              <c:f>Dashboard!$B$70:$B$77</c:f>
              <c:strCache>
                <c:ptCount val="8"/>
                <c:pt idx="0">
                  <c:v>Corrugated offcuts</c:v>
                </c:pt>
                <c:pt idx="1">
                  <c:v>Paper cores and tubes</c:v>
                </c:pt>
                <c:pt idx="2">
                  <c:v>Plastic film scrap</c:v>
                </c:pt>
                <c:pt idx="3">
                  <c:v>Wood pallets</c:v>
                </c:pt>
                <c:pt idx="4">
                  <c:v>Steel strapping and scrap</c:v>
                </c:pt>
                <c:pt idx="5">
                  <c:v>Canteen food waste</c:v>
                </c:pt>
                <c:pt idx="6">
                  <c:v>Ink and solvent waste</c:v>
                </c:pt>
                <c:pt idx="7">
                  <c:v>General waste</c:v>
                </c:pt>
              </c:strCache>
            </c:strRef>
          </c:cat>
          <c:val>
            <c:numRef>
              <c:f>Dashboard!$I$70:$I$77</c:f>
              <c:numCache>
                <c:formatCode>General</c:formatCode>
                <c:ptCount val="8"/>
                <c:pt idx="0">
                  <c:v>-15598.58</c:v>
                </c:pt>
                <c:pt idx="1">
                  <c:v>-208.2</c:v>
                </c:pt>
                <c:pt idx="2">
                  <c:v>2848.2</c:v>
                </c:pt>
                <c:pt idx="3">
                  <c:v>1305.8</c:v>
                </c:pt>
                <c:pt idx="4">
                  <c:v>-1870.5</c:v>
                </c:pt>
                <c:pt idx="5">
                  <c:v>1693.7</c:v>
                </c:pt>
                <c:pt idx="6">
                  <c:v>3930.4</c:v>
                </c:pt>
                <c:pt idx="7">
                  <c:v>14280.96</c:v>
                </c:pt>
              </c:numCache>
            </c:numRef>
          </c:val>
        </c:ser>
        <c:gapWidth val="60"/>
        <c:overlap val="-10"/>
        <c:axId val="50040001"/>
        <c:axId val="50040002"/>
      </c:barChart>
      <c:catAx>
        <c:axId val="50040001"/>
        <c:scaling>
          <c:orientation val="maxMin"/>
        </c:scaling>
        <c:axPos val="l"/>
        <c:majorTickMark val="none"/>
        <c:minorTickMark val="none"/>
        <c:tickLblPos val="low"/>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max"/>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Stacked column chart of each month's waste weight split into material recovery, energy recovery and disposal, in the report uni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Column chart of each month's diversion rate with the diversion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34</xdr:row>
      <xdr:rowOff>38100</xdr:rowOff>
    </xdr:from>
    <xdr:to>
      <xdr:col>5</xdr:col>
      <xdr:colOff>676275</xdr:colOff>
      <xdr:row>48</xdr:row>
      <xdr:rowOff>152400</xdr:rowOff>
    </xdr:to>
    <xdr:graphicFrame macro="">
      <xdr:nvGraphicFramePr>
        <xdr:cNvPr id="4" name="Chart 3" descr="Stacked horizontal bar chart of each waste stream's weight split into diverted and not diverted in the dates shown."/>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34</xdr:row>
      <xdr:rowOff>38100</xdr:rowOff>
    </xdr:from>
    <xdr:to>
      <xdr:col>11</xdr:col>
      <xdr:colOff>676275</xdr:colOff>
      <xdr:row>48</xdr:row>
      <xdr:rowOff>152400</xdr:rowOff>
    </xdr:to>
    <xdr:graphicFrame macro="">
      <xdr:nvGraphicFramePr>
        <xdr:cNvPr id="5" name="Chart 4" descr="Horizontal bar chart of each stream's net cost (charges minus rebates) in the dates shown; streams that earn money show below zer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Streams" displayName="tblStreams" ref="B18:E26" totalsRowShown="0">
  <autoFilter ref="B18:E26"/>
  <tableColumns count="4">
    <tableColumn id="1" name="Stream"/>
    <tableColumn id="2" name="Material"/>
    <tableColumn id="3" name="Hazardous"/>
    <tableColumn id="4" name="Notes"/>
  </tableColumns>
  <tableStyleInfo name="TableStyleLight1" showFirstColumn="0" showLastColumn="0" showRowStripes="0" showColumnStripes="0"/>
</table>
</file>

<file path=xl/tables/table2.xml><?xml version="1.0" encoding="utf-8"?>
<table xmlns="http://schemas.openxmlformats.org/spreadsheetml/2006/main" id="2" name="tblRoutes" displayName="tblRoutes" ref="B32:D38" totalsRowShown="0">
  <autoFilter ref="B32:D38"/>
  <tableColumns count="3">
    <tableColumn id="1" name="Route"/>
    <tableColumn id="2" name="Class"/>
    <tableColumn id="3" name="Notes"/>
  </tableColumns>
  <tableStyleInfo name="TableStyleLight1" showFirstColumn="0" showLastColumn="0" showRowStripes="0" showColumnStripes="0"/>
</table>
</file>

<file path=xl/tables/table3.xml><?xml version="1.0" encoding="utf-8"?>
<table xmlns="http://schemas.openxmlformats.org/spreadsheetml/2006/main" id="3" name="tblWaste" displayName="tblWaste" ref="B6:R190" totalsRowShown="0">
  <autoFilter ref="B6:R190"/>
  <tableColumns count="17">
    <tableColumn id="1" name="Date"/>
    <tableColumn id="2" name="Ticket no."/>
    <tableColumn id="3" name="Stream"/>
    <tableColumn id="4" name="Route"/>
    <tableColumn id="5" name="Hauler"/>
    <tableColumn id="6" name="Weight"/>
    <tableColumn id="7" name="Unit"/>
    <tableColumn id="8" name="Charge"/>
    <tableColumn id="9" name="Rebate"/>
    <tableColumn id="10" name="Weight (kg)">
      <calculatedColumnFormula>IF(tblWaste[[#This Row],[Date]]="","",IF(tblWaste[[#This Row],[Unit]]="kg",tblWaste[[#This Row],[Weight]],IF(tblWaste[[#This Row],[Unit]]="t",tblWaste[[#This Row],[Weight]]*1000,IF(tblWaste[[#This Row],[Unit]]="lb",tblWaste[[#This Row],[Weight]]*0.45359237,IF(tblWaste[[#This Row],[Unit]]="US ton",tblWaste[[#This Row],[Weight]]*907.18474,"")))))</calculatedColumnFormula>
    </tableColumn>
    <tableColumn id="11" name="Class">
      <calculatedColumnFormula>IF(tblWaste[[#This Row],[Date]]="","",IFERROR(INDEX(tblRoutes[Class],MATCH(tblWaste[[#This Row],[Route]],tblRoutes[Route],0)),""))</calculatedColumnFormula>
    </tableColumn>
    <tableColumn id="12" name="Hazardous">
      <calculatedColumnFormula>IF(tblWaste[[#This Row],[Date]]="","",IFERROR(INDEX(tblStreams[Hazardous],MATCH(tblWaste[[#This Row],[Stream]],tblStreams[Stream],0)),""))</calculatedColumnFormula>
    </tableColumn>
    <tableColumn id="13" name="Diverted (kg)">
      <calculatedColumnFormula>IF(tblWaste[[#This Row],[Date]]="","",IF(OR(tblWaste[[#This Row],[Weight (kg)]]="",tblWaste[[#This Row],[Class]]=""),"",IF(OR(tblWaste[[#This Row],[Class]]="Material recovery",AND(tblWaste[[#This Row],[Class]]="Energy recovery",CountER="Yes")),tblWaste[[#This Row],[Weight (kg)]],0)))</calculatedColumnFormula>
    </tableColumn>
    <tableColumn id="14" name="Net cost">
      <calculatedColumnFormula>IF(tblWaste[[#This Row],[Date]]="","",N(tblWaste[[#This Row],[Charge]])-N(tblWaste[[#This Row],[Rebate]]))</calculatedColumnFormula>
    </tableColumn>
    <tableColumn id="15" name="View date">
      <calculatedColumnFormula>IF(tblWaste[[#This Row],[Date]]="","",IF(AND(tblWaste[[#This Row],[Date]]&gt;=FFrom,tblWaste[[#This Row],[Date]]&lt;=FTo),tblWaste[[#This Row],[Date]],""))</calculatedColumnFormula>
    </tableColumn>
    <tableColumn id="16" name="Check">
      <calculatedColumnFormula>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calculatedColumnFormula>
    </tableColumn>
    <tableColumn id="17" name="Notes"/>
  </tableColumns>
  <tableStyleInfo name="TableStyleLight1" showFirstColumn="0" showLastColumn="0" showRowStripes="0" showColumnStripes="0"/>
</table>
</file>

<file path=xl/tables/table4.xml><?xml version="1.0" encoding="utf-8"?>
<table xmlns="http://schemas.openxmlformats.org/spreadsheetml/2006/main" id="4" name="tblVerifyWaste" displayName="tblVerifyWaste" ref="B39:R45" totalsRowShown="0">
  <tableColumns count="17">
    <tableColumn id="1" name="Date"/>
    <tableColumn id="2" name="Ticket no."/>
    <tableColumn id="3" name="Stream"/>
    <tableColumn id="4" name="Route"/>
    <tableColumn id="5" name="Hauler"/>
    <tableColumn id="6" name="Weight"/>
    <tableColumn id="7" name="Unit"/>
    <tableColumn id="8" name="Charge"/>
    <tableColumn id="9" name="Rebate"/>
    <tableColumn id="10" name="Weight (kg)">
      <calculatedColumnFormula>IF(tblVerifyWaste[[#This Row],[Date]]="","",IF(tblVerifyWaste[[#This Row],[Unit]]="kg",tblVerifyWaste[[#This Row],[Weight]],IF(tblVerifyWaste[[#This Row],[Unit]]="t",tblVerifyWaste[[#This Row],[Weight]]*1000,IF(tblVerifyWaste[[#This Row],[Unit]]="lb",tblVerifyWaste[[#This Row],[Weight]]*0.45359237,IF(tblVerifyWaste[[#This Row],[Unit]]="US ton",tblVerifyWaste[[#This Row],[Weight]]*907.18474,"")))))</calculatedColumnFormula>
    </tableColumn>
    <tableColumn id="11" name="Class"/>
    <tableColumn id="12" name="Hazardous"/>
    <tableColumn id="13" name="Diverted (kg)">
      <calculatedColumnFormula>IF(tblVerifyWaste[[#This Row],[Date]]="","",IF(OR(tblVerifyWaste[[#This Row],[Weight (kg)]]="",tblVerifyWaste[[#This Row],[Class]]=""),"",IF(OR(tblVerifyWaste[[#This Row],[Class]]="Material recovery",AND(tblVerifyWaste[[#This Row],[Class]]="Energy recovery",$E$34="Yes")),tblVerifyWaste[[#This Row],[Weight (kg)]],0)))</calculatedColumnFormula>
    </tableColumn>
    <tableColumn id="14" name="Net cost">
      <calculatedColumnFormula>IF(tblVerifyWaste[[#This Row],[Date]]="","",N(tblVerifyWaste[[#This Row],[Charge]])-N(tblVerifyWaste[[#This Row],[Rebate]]))</calculatedColumnFormula>
    </tableColumn>
    <tableColumn id="15" name="View date">
      <calculatedColumnFormula>IF(tblVerifyWaste[[#This Row],[Date]]="","",IF(AND(tblVerifyWaste[[#This Row],[Date]]&gt;=$E$32,tblVerifyWaste[[#This Row],[Date]]&lt;=$E$33),tblVerifyWaste[[#This Row],[Date]],""))</calculatedColumnFormula>
    </tableColumn>
    <tableColumn id="16" name="Check">
      <calculatedColumnFormula>IF(tblVerifyWaste[[#This Row],[Date]]="","",IF(tblVerifyWaste[[#This Row],[Stream]]="","Missing stream",IF(tblVerifyWaste[[#This Row],[Route]]="","Missing route",IF(tblVerifyWaste[[#This Row],[Weight]]="","Missing weight",IF(tblVerifyWaste[[#This Row],[Unit]]="","Missing unit",IF(tblVerifyWaste[[#This Row],[Hazardous]]="","Stream not on Setup list",IF(tblVerifyWaste[[#This Row],[Class]]="","Route not on Setup list",IF(tblVerifyWaste[[#This Row],[Weight (kg)]]="","Unit must be kg, t, lb or US ton",IF(AND(tblVerifyWaste[[#This Row],[Hazardous]]="Yes",tblVerifyWaste[[#This Row],[Route]]="Landfill"),"Hazardous to landfill: check permit",IF(AND(tblVerifyWaste[[#This Row],[Ticket no.]]&lt;&gt;"",COUNTIFS(tblVerifyWaste[Ticket no.],tblVerifyWaste[[#This Row],[Ticket no.]])&gt;1),"Duplicate ticket","OK"))))))))))</calculatedColumnFormula>
    </tableColumn>
    <tableColumn id="17"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ste-diversion-tracker" TargetMode="External"/><Relationship Id="rId2" Type="http://schemas.openxmlformats.org/officeDocument/2006/relationships/hyperlink" Target="https://www.mfgcalcs.com/calculators/environmental-compliance-waste-water-management/environmental-landfill-diversion-rate?utm_source=mfgcalcs-template&amp;utm_medium=xlsx&amp;utm_campaign=waste-diversion-tracker" TargetMode="External"/><Relationship Id="rId3" Type="http://schemas.openxmlformats.org/officeDocument/2006/relationships/hyperlink" Target="https://www.mfgcalcs.com/templates/waste-diversion-tracker?utm_source=mfgcalcs-template&amp;utm_medium=xlsx&amp;utm_campaign=waste-diversion-tracker" TargetMode="External"/><Relationship Id="rId4" Type="http://schemas.openxmlformats.org/officeDocument/2006/relationships/hyperlink" Target="https://www.mfgcalcs.com/templates?utm_source=mfgcalcs-template&amp;utm_medium=xlsx&amp;utm_campaign=waste-diversion-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ste-diversion-tracker"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ste-diversion-tracker"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ste-diversion-tracker"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ste-diversion-tracker" TargetMode="External"/><Relationship Id="rId2" Type="http://schemas.openxmlformats.org/officeDocument/2006/relationships/hyperlink" Target="https://www.mfgcalcs.com/calculators/environmental-compliance-waste-water-management/environmental-landfill-diversion-rate?utm_source=mfgcalcs-template&amp;utm_medium=xlsx&amp;utm_campaign=waste-diversion-tracke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ste-diversion-tracker" TargetMode="External"/><Relationship Id="rId2"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16.2"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16 of 16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Waste Log'!A1" tooltip="Go to Waste Log" display="Waste Log"/>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Waste and Recycling Tracker&amp;R&amp;8&amp;A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F38"/>
  <sheetViews>
    <sheetView showGridLines="0" workbookViewId="0"/>
  </sheetViews>
  <sheetFormatPr defaultRowHeight="15"/>
  <cols>
    <col min="1" max="1" width="2.7109375" customWidth="1"/>
    <col min="2" max="2" width="30.7109375" customWidth="1"/>
    <col min="3" max="3" width="22.7109375" customWidth="1"/>
    <col min="4" max="4" width="18.7109375" customWidth="1"/>
    <col min="5" max="5" width="12.7109375" customWidth="1"/>
    <col min="6" max="6" width="38.7109375" customWidth="1"/>
  </cols>
  <sheetData>
    <row r="1" spans="1:6" ht="30" customHeight="1">
      <c r="A1" s="1" t="s">
        <v>0</v>
      </c>
      <c r="B1" s="1"/>
      <c r="C1" s="1"/>
      <c r="D1" s="1"/>
      <c r="E1" s="1"/>
      <c r="F1" s="1"/>
    </row>
    <row r="2" spans="1:6" ht="21" customHeight="1">
      <c r="B2" s="2" t="s">
        <v>18</v>
      </c>
      <c r="C2" s="2"/>
      <c r="D2" s="2"/>
      <c r="E2" s="2"/>
      <c r="F2" s="3" t="s">
        <v>2</v>
      </c>
    </row>
    <row r="3" spans="1:6" ht="6" customHeight="1"/>
    <row r="4" spans="1:6" ht="21" customHeight="1">
      <c r="B4" s="8" t="s">
        <v>66</v>
      </c>
      <c r="C4" s="8"/>
      <c r="D4" s="8"/>
      <c r="E4" s="8"/>
      <c r="F4" s="8"/>
    </row>
    <row r="5" spans="1:6" ht="5" customHeight="1"/>
    <row r="6" spans="1:6">
      <c r="B6" s="27" t="s">
        <v>67</v>
      </c>
      <c r="C6" s="27"/>
      <c r="D6" s="28" t="s">
        <v>68</v>
      </c>
      <c r="E6" s="28"/>
    </row>
    <row r="7" spans="1:6">
      <c r="B7" s="27" t="s">
        <v>69</v>
      </c>
      <c r="C7" s="27"/>
      <c r="D7" s="28" t="s">
        <v>70</v>
      </c>
      <c r="E7" s="28"/>
    </row>
    <row r="8" spans="1:6">
      <c r="B8" s="27" t="s">
        <v>71</v>
      </c>
      <c r="C8" s="27"/>
      <c r="D8" s="29">
        <v>0.8</v>
      </c>
      <c r="E8" s="7"/>
    </row>
    <row r="9" spans="1:6">
      <c r="B9" s="27" t="s">
        <v>72</v>
      </c>
      <c r="C9" s="27"/>
      <c r="D9" s="28" t="s">
        <v>73</v>
      </c>
      <c r="E9" s="7"/>
    </row>
    <row r="10" spans="1:6">
      <c r="B10" s="27" t="s">
        <v>74</v>
      </c>
      <c r="C10" s="27"/>
      <c r="D10" s="28" t="s">
        <v>75</v>
      </c>
      <c r="E10" s="28"/>
    </row>
    <row r="11" spans="1:6">
      <c r="B11" s="27" t="s">
        <v>76</v>
      </c>
      <c r="C11" s="27"/>
      <c r="D11" s="30">
        <f>IF(ReportUnit="US ton",907.18474,1000)</f>
        <v>1000</v>
      </c>
      <c r="E11" s="7" t="s">
        <v>77</v>
      </c>
    </row>
    <row r="13" spans="1:6" ht="35.4" customHeight="1">
      <c r="B13" s="25" t="s">
        <v>78</v>
      </c>
      <c r="C13" s="25"/>
      <c r="D13" s="25"/>
      <c r="E13" s="25"/>
      <c r="F13" s="25"/>
    </row>
    <row r="15" spans="1:6" ht="21" customHeight="1">
      <c r="B15" s="8" t="s">
        <v>79</v>
      </c>
      <c r="C15" s="8"/>
      <c r="D15" s="8"/>
      <c r="E15" s="8"/>
      <c r="F15" s="8"/>
    </row>
    <row r="16" spans="1:6" ht="5" customHeight="1"/>
    <row r="17" spans="2:6">
      <c r="B17" s="31" t="s">
        <v>80</v>
      </c>
      <c r="C17" s="31"/>
      <c r="D17" s="31"/>
      <c r="E17" s="31"/>
    </row>
    <row r="18" spans="2:6" ht="32" customHeight="1">
      <c r="B18" s="32" t="s">
        <v>60</v>
      </c>
      <c r="C18" s="32" t="s">
        <v>61</v>
      </c>
      <c r="D18" s="32" t="s">
        <v>62</v>
      </c>
      <c r="E18" s="32" t="s">
        <v>63</v>
      </c>
    </row>
    <row r="19" spans="2:6">
      <c r="B19" s="28" t="s">
        <v>81</v>
      </c>
      <c r="C19" s="28" t="s">
        <v>82</v>
      </c>
      <c r="D19" s="28" t="s">
        <v>83</v>
      </c>
      <c r="E19" s="28" t="s">
        <v>84</v>
      </c>
    </row>
    <row r="20" spans="2:6">
      <c r="B20" s="28" t="s">
        <v>85</v>
      </c>
      <c r="C20" s="28" t="s">
        <v>82</v>
      </c>
      <c r="D20" s="28" t="s">
        <v>83</v>
      </c>
      <c r="E20" s="28" t="s">
        <v>86</v>
      </c>
    </row>
    <row r="21" spans="2:6">
      <c r="B21" s="28" t="s">
        <v>87</v>
      </c>
      <c r="C21" s="28" t="s">
        <v>88</v>
      </c>
      <c r="D21" s="28" t="s">
        <v>83</v>
      </c>
      <c r="E21" s="28" t="s">
        <v>89</v>
      </c>
    </row>
    <row r="22" spans="2:6">
      <c r="B22" s="28" t="s">
        <v>90</v>
      </c>
      <c r="C22" s="28" t="s">
        <v>91</v>
      </c>
      <c r="D22" s="28" t="s">
        <v>83</v>
      </c>
      <c r="E22" s="28" t="s">
        <v>92</v>
      </c>
    </row>
    <row r="23" spans="2:6">
      <c r="B23" s="28" t="s">
        <v>93</v>
      </c>
      <c r="C23" s="28" t="s">
        <v>94</v>
      </c>
      <c r="D23" s="28" t="s">
        <v>83</v>
      </c>
      <c r="E23" s="28" t="s">
        <v>86</v>
      </c>
    </row>
    <row r="24" spans="2:6">
      <c r="B24" s="28" t="s">
        <v>95</v>
      </c>
      <c r="C24" s="28" t="s">
        <v>96</v>
      </c>
      <c r="D24" s="28" t="s">
        <v>83</v>
      </c>
      <c r="E24" s="28" t="s">
        <v>86</v>
      </c>
    </row>
    <row r="25" spans="2:6">
      <c r="B25" s="28" t="s">
        <v>97</v>
      </c>
      <c r="C25" s="28" t="s">
        <v>98</v>
      </c>
      <c r="D25" s="28" t="s">
        <v>73</v>
      </c>
      <c r="E25" s="28" t="s">
        <v>99</v>
      </c>
    </row>
    <row r="26" spans="2:6">
      <c r="B26" s="28" t="s">
        <v>100</v>
      </c>
      <c r="C26" s="28" t="s">
        <v>101</v>
      </c>
      <c r="D26" s="28" t="s">
        <v>83</v>
      </c>
      <c r="E26" s="28" t="s">
        <v>102</v>
      </c>
    </row>
    <row r="28" spans="2:6" ht="21" customHeight="1">
      <c r="B28" s="8" t="s">
        <v>103</v>
      </c>
      <c r="C28" s="8"/>
      <c r="D28" s="8"/>
      <c r="E28" s="8"/>
      <c r="F28" s="8"/>
    </row>
    <row r="29" spans="2:6" ht="5" customHeight="1"/>
    <row r="30" spans="2:6">
      <c r="B30" s="31" t="s">
        <v>104</v>
      </c>
      <c r="C30" s="31"/>
      <c r="D30" s="31"/>
    </row>
    <row r="31" spans="2:6" ht="41.64" customHeight="1">
      <c r="B31" s="33" t="s">
        <v>105</v>
      </c>
      <c r="C31" s="33"/>
      <c r="D31" s="33"/>
    </row>
    <row r="32" spans="2:6" ht="20" customHeight="1">
      <c r="B32" s="32" t="s">
        <v>64</v>
      </c>
      <c r="C32" s="32" t="s">
        <v>65</v>
      </c>
      <c r="D32" s="32" t="s">
        <v>63</v>
      </c>
    </row>
    <row r="33" spans="2:4">
      <c r="B33" s="28" t="s">
        <v>106</v>
      </c>
      <c r="C33" s="28" t="s">
        <v>107</v>
      </c>
      <c r="D33" s="28" t="s">
        <v>108</v>
      </c>
    </row>
    <row r="34" spans="2:4">
      <c r="B34" s="28" t="s">
        <v>109</v>
      </c>
      <c r="C34" s="28" t="s">
        <v>107</v>
      </c>
      <c r="D34" s="28" t="s">
        <v>110</v>
      </c>
    </row>
    <row r="35" spans="2:4">
      <c r="B35" s="28" t="s">
        <v>111</v>
      </c>
      <c r="C35" s="28" t="s">
        <v>107</v>
      </c>
      <c r="D35" s="28" t="s">
        <v>112</v>
      </c>
    </row>
    <row r="36" spans="2:4">
      <c r="B36" s="28" t="s">
        <v>113</v>
      </c>
      <c r="C36" s="28" t="s">
        <v>113</v>
      </c>
      <c r="D36" s="28" t="s">
        <v>114</v>
      </c>
    </row>
    <row r="37" spans="2:4">
      <c r="B37" s="28" t="s">
        <v>115</v>
      </c>
      <c r="C37" s="28" t="s">
        <v>116</v>
      </c>
      <c r="D37" s="28" t="s">
        <v>117</v>
      </c>
    </row>
    <row r="38" spans="2:4">
      <c r="B38" s="28" t="s">
        <v>118</v>
      </c>
      <c r="C38" s="28" t="s">
        <v>116</v>
      </c>
      <c r="D38" s="28" t="s">
        <v>86</v>
      </c>
    </row>
  </sheetData>
  <mergeCells count="18">
    <mergeCell ref="A1:F1"/>
    <mergeCell ref="B2:E2"/>
    <mergeCell ref="B4:F4"/>
    <mergeCell ref="B6:C6"/>
    <mergeCell ref="D6:E6"/>
    <mergeCell ref="B7:C7"/>
    <mergeCell ref="D7:E7"/>
    <mergeCell ref="B8:C8"/>
    <mergeCell ref="B9:C9"/>
    <mergeCell ref="B10:C10"/>
    <mergeCell ref="D10:E10"/>
    <mergeCell ref="B11:C11"/>
    <mergeCell ref="B13:F13"/>
    <mergeCell ref="B15:F15"/>
    <mergeCell ref="B17:E17"/>
    <mergeCell ref="B28:F28"/>
    <mergeCell ref="B30:D30"/>
    <mergeCell ref="B31:D31"/>
  </mergeCells>
  <dataValidations count="12">
    <dataValidation type="textLength" allowBlank="1" showInputMessage="1" showErrorMessage="1" errorTitle="Check this entry" error="Text up to 80 characters." promptTitle="Plant or site name" prompt="Text up to 80 characters." sqref="D6">
      <formula1>0</formula1>
      <formula2>80</formula2>
    </dataValidation>
    <dataValidation type="textLength" allowBlank="1" showInputMessage="1" showErrorMessage="1" errorTitle="Check this entry" error="Text up to 12 characters." promptTitle="Currency label" prompt="Text shown with every money value, e.g. USD, INR, GBP, EUR, MXN. No exchange rate is applied. Text up to 12 characters." sqref="D7">
      <formula1>0</formula1>
      <formula2>12</formula2>
    </dataValidation>
    <dataValidation type="decimal" allowBlank="1" showInputMessage="1" showErrorMessage="1" errorTitle="Check this entry" error="Enter a percentage from 0% to 100% (type 85% or 0.85)." promptTitle="Diversion target" prompt="Your own target for the share of waste kept out of disposal. Enter a percentage from 0% to 100% (type 85% or 0.85)." sqref="D8">
      <formula1>0</formula1>
      <formula2>1</formula2>
    </dataValidation>
    <dataValidation type="list" allowBlank="1" showInputMessage="1" showErrorMessage="1" errorTitle="Check this entry" error="Pick one of: Yes, No." promptTitle="Count energy recovery as dive..." prompt="Programmes differ: some count energy from waste as diverted from landfill, some do not. Yes or No. Pick one of: Yes, No." sqref="D9">
      <formula1>"Yes,No"</formula1>
    </dataValidation>
    <dataValidation type="list" allowBlank="1" showInputMessage="1" showErrorMessage="1" errorTitle="Check this entry" error="Pick one of: t, US ton." promptTitle="Show Dashboard weights in" prompt="t = metric tonne (1,000 kg); US ton = 2,000 lb = 907.18474 kg. Display only: the log keeps what you typed. Pick one of: t, US ton." sqref="D10">
      <formula1>"t,US ton"</formula1>
    </dataValidation>
    <dataValidation type="textLength" allowBlank="1" showInputMessage="1" showErrorMessage="1" errorTitle="Check this entry" error="Text up to 40 characters." promptTitle="Stream" prompt="Text up to 40 characters." sqref="B19:B126">
      <formula1>0</formula1>
      <formula2>40</formula2>
    </dataValidation>
    <dataValidation type="textLength" allowBlank="1" showInputMessage="1" showErrorMessage="1" errorTitle="Check this entry" error="Text up to 30 characters." promptTitle="Material" prompt="Text up to 30 characters." sqref="C19:C126">
      <formula1>0</formula1>
      <formula2>30</formula2>
    </dataValidation>
    <dataValidation type="list" allowBlank="1" showInputMessage="1" showErrorMessage="1" errorTitle="Check this entry" error="Pick one of: Yes, No." promptTitle="Hazardous" prompt="Yes for waste consigned as hazardous (special) waste in your jurisdiction. Pick one of: Yes, No." sqref="D19:D126">
      <formula1>"Yes,No"</formula1>
    </dataValidation>
    <dataValidation type="textLength" allowBlank="1" showInputMessage="1" showErrorMessage="1" errorTitle="Check this entry" error="Text up to 120 characters." promptTitle="Notes" prompt="Text up to 120 characters." sqref="E19:E126">
      <formula1>0</formula1>
      <formula2>120</formula2>
    </dataValidation>
    <dataValidation type="textLength" allowBlank="1" showInputMessage="1" showErrorMessage="1" errorTitle="Check this entry" error="Text up to 40 characters." promptTitle="Route" prompt="Text up to 40 characters." sqref="B33:B138">
      <formula1>0</formula1>
      <formula2>40</formula2>
    </dataValidation>
    <dataValidation type="list" allowBlank="1" showInputMessage="1" showErrorMessage="1" errorTitle="Check this entry" error="Pick one of: Material recovery, Energy recovery, Disposal." promptTitle="Class" prompt="Material recovery, Energy recovery or Disposal. Pick one of: Material recovery, Energy recovery, Disposal." sqref="C33:C138">
      <formula1>"Material recovery,Energy recovery,Disposal"</formula1>
    </dataValidation>
    <dataValidation type="textLength" allowBlank="1" showInputMessage="1" showErrorMessage="1" errorTitle="Check this entry" error="Text up to 120 characters." promptTitle="Notes" prompt="Text up to 120 characters." sqref="D33:D138">
      <formula1>0</formula1>
      <formula2>120</formula2>
    </dataValidation>
  </dataValidations>
  <hyperlinks>
    <hyperlink ref="F2" r:id="rId1" tooltip="Free manufacturing calculators and templates"/>
  </hyperlinks>
  <pageMargins left="0.4" right="0.4" top="0.7" bottom="0.65" header="0.3" footer="0.3"/>
  <pageSetup fitToHeight="0" orientation="landscape"/>
  <headerFooter>
    <oddHeader>&amp;L&amp;8MFG Calcs - Waste and Recycling Tracker&amp;R&amp;8&amp;A</oddHeader>
    <oddFooter>&amp;L&amp;8mfgcalcs.com - free manufacturing templates&amp;R&amp;8Page &amp;P of &amp;N</oddFooter>
  </headerFooter>
  <rowBreaks count="1" manualBreakCount="1">
    <brk id="27" max="16383"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R190"/>
  <sheetViews>
    <sheetView workbookViewId="0">
      <pane xSplit="4" ySplit="6" topLeftCell="E7" activePane="bottomRight" state="frozen"/>
      <selection pane="topRight" activeCell="E1" sqref="E1"/>
      <selection pane="bottomLeft" activeCell="A7" sqref="A7"/>
      <selection pane="bottomRight"/>
    </sheetView>
  </sheetViews>
  <sheetFormatPr defaultRowHeight="15"/>
  <cols>
    <col min="1" max="1" width="2.7109375" customWidth="1"/>
    <col min="2" max="2" width="12.28515625" customWidth="1"/>
    <col min="3" max="3" width="9.7109375" customWidth="1"/>
    <col min="4" max="5" width="20.7109375" customWidth="1"/>
    <col min="6" max="6" width="17.7109375" customWidth="1"/>
    <col min="7" max="7" width="10.7109375" customWidth="1"/>
    <col min="8" max="8" width="8.7109375" customWidth="1"/>
    <col min="9" max="10" width="10.28515625" customWidth="1"/>
    <col min="11" max="11" width="10.7109375" customWidth="1"/>
    <col min="12" max="12" width="15.7109375" customWidth="1"/>
    <col min="13" max="13" width="9.7109375" customWidth="1"/>
    <col min="14" max="14" width="10.7109375" customWidth="1"/>
    <col min="15" max="15" width="10.28515625" customWidth="1"/>
    <col min="16" max="16" width="12.28515625" customWidth="1"/>
    <col min="17" max="17" width="27.7109375" customWidth="1"/>
    <col min="18" max="18" width="28.7109375" customWidth="1"/>
  </cols>
  <sheetData>
    <row r="1" spans="1:18" ht="30" customHeight="1">
      <c r="A1" s="1" t="s">
        <v>0</v>
      </c>
      <c r="B1" s="1"/>
      <c r="C1" s="1"/>
      <c r="D1" s="1"/>
      <c r="E1" s="1"/>
      <c r="F1" s="1"/>
      <c r="G1" s="1"/>
      <c r="H1" s="1"/>
      <c r="I1" s="1"/>
      <c r="J1" s="1"/>
      <c r="K1" s="1"/>
      <c r="L1" s="1"/>
      <c r="M1" s="1"/>
      <c r="N1" s="1"/>
      <c r="O1" s="1"/>
      <c r="P1" s="1"/>
      <c r="Q1" s="1"/>
      <c r="R1" s="1"/>
    </row>
    <row r="2" spans="1:18" ht="21" customHeight="1">
      <c r="B2" s="2" t="s">
        <v>20</v>
      </c>
      <c r="C2" s="2"/>
      <c r="D2" s="2"/>
      <c r="E2" s="2"/>
      <c r="F2" s="2"/>
      <c r="G2" s="2"/>
      <c r="H2" s="2"/>
      <c r="I2" s="2"/>
      <c r="J2" s="2"/>
      <c r="K2" s="2"/>
      <c r="L2" s="2"/>
      <c r="M2" s="2"/>
      <c r="N2" s="2"/>
      <c r="O2" s="2"/>
      <c r="P2" s="2"/>
      <c r="Q2" s="2"/>
      <c r="R2" s="3" t="s">
        <v>2</v>
      </c>
    </row>
    <row r="3" spans="1:18" ht="6" customHeight="1"/>
    <row r="4" spans="1:18" ht="29.76" customHeight="1">
      <c r="B4" s="33" t="s">
        <v>131</v>
      </c>
      <c r="C4" s="33"/>
      <c r="D4" s="33"/>
      <c r="E4" s="33"/>
      <c r="F4" s="33"/>
      <c r="G4" s="33"/>
      <c r="H4" s="33"/>
      <c r="I4" s="33"/>
      <c r="J4" s="33"/>
      <c r="K4" s="33"/>
      <c r="L4" s="33"/>
      <c r="M4" s="33"/>
      <c r="N4" s="33"/>
      <c r="O4" s="33"/>
      <c r="P4" s="33"/>
      <c r="Q4" s="33"/>
      <c r="R4" s="33"/>
    </row>
    <row r="5" spans="1:18" ht="14" customHeight="1">
      <c r="B5" s="34"/>
      <c r="C5" s="34"/>
      <c r="D5" s="34"/>
      <c r="E5" s="34"/>
      <c r="F5" s="34"/>
      <c r="G5" s="34"/>
      <c r="H5" s="34"/>
      <c r="I5" s="34" t="str">
        <f>Currency</f>
        <v>USD</v>
      </c>
      <c r="J5" s="34" t="str">
        <f>Currency</f>
        <v>USD</v>
      </c>
      <c r="K5" s="34"/>
      <c r="L5" s="34"/>
      <c r="M5" s="34"/>
      <c r="N5" s="34"/>
      <c r="O5" s="34" t="str">
        <f>Currency</f>
        <v>USD</v>
      </c>
      <c r="P5" s="34"/>
      <c r="Q5" s="34"/>
      <c r="R5" s="34"/>
    </row>
    <row r="6" spans="1:18" ht="32" customHeight="1">
      <c r="B6" s="32" t="s">
        <v>119</v>
      </c>
      <c r="C6" s="32" t="s">
        <v>120</v>
      </c>
      <c r="D6" s="32" t="s">
        <v>60</v>
      </c>
      <c r="E6" s="32" t="s">
        <v>64</v>
      </c>
      <c r="F6" s="32" t="s">
        <v>121</v>
      </c>
      <c r="G6" s="32" t="s">
        <v>122</v>
      </c>
      <c r="H6" s="32" t="s">
        <v>123</v>
      </c>
      <c r="I6" s="32" t="s">
        <v>124</v>
      </c>
      <c r="J6" s="32" t="s">
        <v>125</v>
      </c>
      <c r="K6" s="32" t="s">
        <v>126</v>
      </c>
      <c r="L6" s="32" t="s">
        <v>65</v>
      </c>
      <c r="M6" s="32" t="s">
        <v>62</v>
      </c>
      <c r="N6" s="32" t="s">
        <v>127</v>
      </c>
      <c r="O6" s="32" t="s">
        <v>128</v>
      </c>
      <c r="P6" s="32" t="s">
        <v>129</v>
      </c>
      <c r="Q6" s="32" t="s">
        <v>130</v>
      </c>
      <c r="R6" s="32" t="s">
        <v>63</v>
      </c>
    </row>
    <row r="7" spans="1:18">
      <c r="B7" s="35">
        <v>45933</v>
      </c>
      <c r="C7" s="28" t="s">
        <v>132</v>
      </c>
      <c r="D7" s="28" t="s">
        <v>81</v>
      </c>
      <c r="E7" s="28" t="s">
        <v>109</v>
      </c>
      <c r="F7" s="28" t="s">
        <v>133</v>
      </c>
      <c r="G7" s="36">
        <v>5.47</v>
      </c>
      <c r="H7" s="28" t="s">
        <v>75</v>
      </c>
      <c r="I7" s="36">
        <v>0</v>
      </c>
      <c r="J7" s="36">
        <v>339.14</v>
      </c>
      <c r="K7" s="37">
        <f>IF(tblWaste[[#This Row],[Date]]="","",IF(tblWaste[[#This Row],[Unit]]="kg",tblWaste[[#This Row],[Weight]],IF(tblWaste[[#This Row],[Unit]]="t",tblWaste[[#This Row],[Weight]]*1000,IF(tblWaste[[#This Row],[Unit]]="lb",tblWaste[[#This Row],[Weight]]*0.45359237,IF(tblWaste[[#This Row],[Unit]]="US ton",tblWaste[[#This Row],[Weight]]*907.18474,"")))))</f>
        <v>5470</v>
      </c>
      <c r="L7" s="38" t="str">
        <f>IF(tblWaste[[#This Row],[Date]]="","",IFERROR(INDEX(tblRoutes[Class],MATCH(tblWaste[[#This Row],[Route]],tblRoutes[Route],0)),""))</f>
        <v>Material recovery</v>
      </c>
      <c r="M7" s="38" t="str">
        <f>IF(tblWaste[[#This Row],[Date]]="","",IFERROR(INDEX(tblStreams[Hazardous],MATCH(tblWaste[[#This Row],[Stream]],tblStreams[Stream],0)),""))</f>
        <v>No</v>
      </c>
      <c r="N7" s="37">
        <f>IF(tblWaste[[#This Row],[Date]]="","",IF(OR(tblWaste[[#This Row],[Weight (kg)]]="",tblWaste[[#This Row],[Class]]=""),"",IF(OR(tblWaste[[#This Row],[Class]]="Material recovery",AND(tblWaste[[#This Row],[Class]]="Energy recovery",CountER="Yes")),tblWaste[[#This Row],[Weight (kg)]],0)))</f>
        <v>5470</v>
      </c>
      <c r="O7" s="30">
        <f>IF(tblWaste[[#This Row],[Date]]="","",N(tblWaste[[#This Row],[Charge]])-N(tblWaste[[#This Row],[Rebate]]))</f>
        <v>-339.14</v>
      </c>
      <c r="P7" s="39">
        <f>IF(tblWaste[[#This Row],[Date]]="","",IF(AND(tblWaste[[#This Row],[Date]]&gt;=FFrom,tblWaste[[#This Row],[Date]]&lt;=FTo),tblWaste[[#This Row],[Date]],""))</f>
        <v>45933</v>
      </c>
      <c r="Q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7" s="28" t="s">
        <v>86</v>
      </c>
    </row>
    <row r="8" spans="1:18">
      <c r="B8" s="35">
        <v>45933</v>
      </c>
      <c r="C8" s="28" t="s">
        <v>134</v>
      </c>
      <c r="D8" s="28" t="s">
        <v>85</v>
      </c>
      <c r="E8" s="28" t="s">
        <v>109</v>
      </c>
      <c r="F8" s="28" t="s">
        <v>133</v>
      </c>
      <c r="G8" s="36">
        <v>840</v>
      </c>
      <c r="H8" s="28" t="s">
        <v>77</v>
      </c>
      <c r="I8" s="36">
        <v>0</v>
      </c>
      <c r="J8" s="36">
        <v>16.8</v>
      </c>
      <c r="K8" s="37">
        <f>IF(tblWaste[[#This Row],[Date]]="","",IF(tblWaste[[#This Row],[Unit]]="kg",tblWaste[[#This Row],[Weight]],IF(tblWaste[[#This Row],[Unit]]="t",tblWaste[[#This Row],[Weight]]*1000,IF(tblWaste[[#This Row],[Unit]]="lb",tblWaste[[#This Row],[Weight]]*0.45359237,IF(tblWaste[[#This Row],[Unit]]="US ton",tblWaste[[#This Row],[Weight]]*907.18474,"")))))</f>
        <v>840</v>
      </c>
      <c r="L8" s="38" t="str">
        <f>IF(tblWaste[[#This Row],[Date]]="","",IFERROR(INDEX(tblRoutes[Class],MATCH(tblWaste[[#This Row],[Route]],tblRoutes[Route],0)),""))</f>
        <v>Material recovery</v>
      </c>
      <c r="M8" s="38" t="str">
        <f>IF(tblWaste[[#This Row],[Date]]="","",IFERROR(INDEX(tblStreams[Hazardous],MATCH(tblWaste[[#This Row],[Stream]],tblStreams[Stream],0)),""))</f>
        <v>No</v>
      </c>
      <c r="N8" s="37">
        <f>IF(tblWaste[[#This Row],[Date]]="","",IF(OR(tblWaste[[#This Row],[Weight (kg)]]="",tblWaste[[#This Row],[Class]]=""),"",IF(OR(tblWaste[[#This Row],[Class]]="Material recovery",AND(tblWaste[[#This Row],[Class]]="Energy recovery",CountER="Yes")),tblWaste[[#This Row],[Weight (kg)]],0)))</f>
        <v>840</v>
      </c>
      <c r="O8" s="30">
        <f>IF(tblWaste[[#This Row],[Date]]="","",N(tblWaste[[#This Row],[Charge]])-N(tblWaste[[#This Row],[Rebate]]))</f>
        <v>-16.8</v>
      </c>
      <c r="P8" s="39">
        <f>IF(tblWaste[[#This Row],[Date]]="","",IF(AND(tblWaste[[#This Row],[Date]]&gt;=FFrom,tblWaste[[#This Row],[Date]]&lt;=FTo),tblWaste[[#This Row],[Date]],""))</f>
        <v>45933</v>
      </c>
      <c r="Q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8" s="28" t="s">
        <v>86</v>
      </c>
    </row>
    <row r="9" spans="1:18">
      <c r="B9" s="35">
        <v>45934</v>
      </c>
      <c r="C9" s="28" t="s">
        <v>135</v>
      </c>
      <c r="D9" s="28" t="s">
        <v>87</v>
      </c>
      <c r="E9" s="28" t="s">
        <v>118</v>
      </c>
      <c r="F9" s="28" t="s">
        <v>136</v>
      </c>
      <c r="G9" s="36">
        <v>2320</v>
      </c>
      <c r="H9" s="28" t="s">
        <v>77</v>
      </c>
      <c r="I9" s="36">
        <v>318.76</v>
      </c>
      <c r="J9" s="36">
        <v>0</v>
      </c>
      <c r="K9" s="37">
        <f>IF(tblWaste[[#This Row],[Date]]="","",IF(tblWaste[[#This Row],[Unit]]="kg",tblWaste[[#This Row],[Weight]],IF(tblWaste[[#This Row],[Unit]]="t",tblWaste[[#This Row],[Weight]]*1000,IF(tblWaste[[#This Row],[Unit]]="lb",tblWaste[[#This Row],[Weight]]*0.45359237,IF(tblWaste[[#This Row],[Unit]]="US ton",tblWaste[[#This Row],[Weight]]*907.18474,"")))))</f>
        <v>2320</v>
      </c>
      <c r="L9" s="38" t="str">
        <f>IF(tblWaste[[#This Row],[Date]]="","",IFERROR(INDEX(tblRoutes[Class],MATCH(tblWaste[[#This Row],[Route]],tblRoutes[Route],0)),""))</f>
        <v>Disposal</v>
      </c>
      <c r="M9" s="38" t="str">
        <f>IF(tblWaste[[#This Row],[Date]]="","",IFERROR(INDEX(tblStreams[Hazardous],MATCH(tblWaste[[#This Row],[Stream]],tblStreams[Stream],0)),""))</f>
        <v>No</v>
      </c>
      <c r="N9" s="37">
        <f>IF(tblWaste[[#This Row],[Date]]="","",IF(OR(tblWaste[[#This Row],[Weight (kg)]]="",tblWaste[[#This Row],[Class]]=""),"",IF(OR(tblWaste[[#This Row],[Class]]="Material recovery",AND(tblWaste[[#This Row],[Class]]="Energy recovery",CountER="Yes")),tblWaste[[#This Row],[Weight (kg)]],0)))</f>
        <v>0</v>
      </c>
      <c r="O9" s="30">
        <f>IF(tblWaste[[#This Row],[Date]]="","",N(tblWaste[[#This Row],[Charge]])-N(tblWaste[[#This Row],[Rebate]]))</f>
        <v>318.76</v>
      </c>
      <c r="P9" s="39">
        <f>IF(tblWaste[[#This Row],[Date]]="","",IF(AND(tblWaste[[#This Row],[Date]]&gt;=FFrom,tblWaste[[#This Row],[Date]]&lt;=FTo),tblWaste[[#This Row],[Date]],""))</f>
        <v>45934</v>
      </c>
      <c r="Q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9" s="28" t="s">
        <v>86</v>
      </c>
    </row>
    <row r="10" spans="1:18">
      <c r="B10" s="35">
        <v>45934</v>
      </c>
      <c r="C10" s="28" t="s">
        <v>137</v>
      </c>
      <c r="D10" s="28" t="s">
        <v>90</v>
      </c>
      <c r="E10" s="28" t="s">
        <v>106</v>
      </c>
      <c r="F10" s="28" t="s">
        <v>138</v>
      </c>
      <c r="G10" s="36">
        <v>2050</v>
      </c>
      <c r="H10" s="28" t="s">
        <v>77</v>
      </c>
      <c r="I10" s="36">
        <v>116.75</v>
      </c>
      <c r="J10" s="36">
        <v>0</v>
      </c>
      <c r="K10" s="37">
        <f>IF(tblWaste[[#This Row],[Date]]="","",IF(tblWaste[[#This Row],[Unit]]="kg",tblWaste[[#This Row],[Weight]],IF(tblWaste[[#This Row],[Unit]]="t",tblWaste[[#This Row],[Weight]]*1000,IF(tblWaste[[#This Row],[Unit]]="lb",tblWaste[[#This Row],[Weight]]*0.45359237,IF(tblWaste[[#This Row],[Unit]]="US ton",tblWaste[[#This Row],[Weight]]*907.18474,"")))))</f>
        <v>2050</v>
      </c>
      <c r="L10" s="38" t="str">
        <f>IF(tblWaste[[#This Row],[Date]]="","",IFERROR(INDEX(tblRoutes[Class],MATCH(tblWaste[[#This Row],[Route]],tblRoutes[Route],0)),""))</f>
        <v>Material recovery</v>
      </c>
      <c r="M10" s="38" t="str">
        <f>IF(tblWaste[[#This Row],[Date]]="","",IFERROR(INDEX(tblStreams[Hazardous],MATCH(tblWaste[[#This Row],[Stream]],tblStreams[Stream],0)),""))</f>
        <v>No</v>
      </c>
      <c r="N10" s="37">
        <f>IF(tblWaste[[#This Row],[Date]]="","",IF(OR(tblWaste[[#This Row],[Weight (kg)]]="",tblWaste[[#This Row],[Class]]=""),"",IF(OR(tblWaste[[#This Row],[Class]]="Material recovery",AND(tblWaste[[#This Row],[Class]]="Energy recovery",CountER="Yes")),tblWaste[[#This Row],[Weight (kg)]],0)))</f>
        <v>2050</v>
      </c>
      <c r="O10" s="30">
        <f>IF(tblWaste[[#This Row],[Date]]="","",N(tblWaste[[#This Row],[Charge]])-N(tblWaste[[#This Row],[Rebate]]))</f>
        <v>116.75</v>
      </c>
      <c r="P10" s="39">
        <f>IF(tblWaste[[#This Row],[Date]]="","",IF(AND(tblWaste[[#This Row],[Date]]&gt;=FFrom,tblWaste[[#This Row],[Date]]&lt;=FTo),tblWaste[[#This Row],[Date]],""))</f>
        <v>45934</v>
      </c>
      <c r="Q1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0" s="28" t="s">
        <v>86</v>
      </c>
    </row>
    <row r="11" spans="1:18">
      <c r="B11" s="35">
        <v>45935</v>
      </c>
      <c r="C11" s="28" t="s">
        <v>139</v>
      </c>
      <c r="D11" s="28" t="s">
        <v>93</v>
      </c>
      <c r="E11" s="28" t="s">
        <v>109</v>
      </c>
      <c r="F11" s="28" t="s">
        <v>140</v>
      </c>
      <c r="G11" s="36">
        <v>980</v>
      </c>
      <c r="H11" s="28" t="s">
        <v>77</v>
      </c>
      <c r="I11" s="36">
        <v>0</v>
      </c>
      <c r="J11" s="36">
        <v>142.1</v>
      </c>
      <c r="K11" s="37">
        <f>IF(tblWaste[[#This Row],[Date]]="","",IF(tblWaste[[#This Row],[Unit]]="kg",tblWaste[[#This Row],[Weight]],IF(tblWaste[[#This Row],[Unit]]="t",tblWaste[[#This Row],[Weight]]*1000,IF(tblWaste[[#This Row],[Unit]]="lb",tblWaste[[#This Row],[Weight]]*0.45359237,IF(tblWaste[[#This Row],[Unit]]="US ton",tblWaste[[#This Row],[Weight]]*907.18474,"")))))</f>
        <v>980</v>
      </c>
      <c r="L11" s="38" t="str">
        <f>IF(tblWaste[[#This Row],[Date]]="","",IFERROR(INDEX(tblRoutes[Class],MATCH(tblWaste[[#This Row],[Route]],tblRoutes[Route],0)),""))</f>
        <v>Material recovery</v>
      </c>
      <c r="M11" s="38" t="str">
        <f>IF(tblWaste[[#This Row],[Date]]="","",IFERROR(INDEX(tblStreams[Hazardous],MATCH(tblWaste[[#This Row],[Stream]],tblStreams[Stream],0)),""))</f>
        <v>No</v>
      </c>
      <c r="N11" s="37">
        <f>IF(tblWaste[[#This Row],[Date]]="","",IF(OR(tblWaste[[#This Row],[Weight (kg)]]="",tblWaste[[#This Row],[Class]]=""),"",IF(OR(tblWaste[[#This Row],[Class]]="Material recovery",AND(tblWaste[[#This Row],[Class]]="Energy recovery",CountER="Yes")),tblWaste[[#This Row],[Weight (kg)]],0)))</f>
        <v>980</v>
      </c>
      <c r="O11" s="30">
        <f>IF(tblWaste[[#This Row],[Date]]="","",N(tblWaste[[#This Row],[Charge]])-N(tblWaste[[#This Row],[Rebate]]))</f>
        <v>-142.1</v>
      </c>
      <c r="P11" s="39">
        <f>IF(tblWaste[[#This Row],[Date]]="","",IF(AND(tblWaste[[#This Row],[Date]]&gt;=FFrom,tblWaste[[#This Row],[Date]]&lt;=FTo),tblWaste[[#This Row],[Date]],""))</f>
        <v>45935</v>
      </c>
      <c r="Q1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1" s="28" t="s">
        <v>86</v>
      </c>
    </row>
    <row r="12" spans="1:18">
      <c r="B12" s="35">
        <v>45935</v>
      </c>
      <c r="C12" s="28" t="s">
        <v>141</v>
      </c>
      <c r="D12" s="28" t="s">
        <v>95</v>
      </c>
      <c r="E12" s="28" t="s">
        <v>111</v>
      </c>
      <c r="F12" s="28" t="s">
        <v>136</v>
      </c>
      <c r="G12" s="36">
        <v>240</v>
      </c>
      <c r="H12" s="28" t="s">
        <v>77</v>
      </c>
      <c r="I12" s="36">
        <v>67.8</v>
      </c>
      <c r="J12" s="36">
        <v>0</v>
      </c>
      <c r="K12" s="37">
        <f>IF(tblWaste[[#This Row],[Date]]="","",IF(tblWaste[[#This Row],[Unit]]="kg",tblWaste[[#This Row],[Weight]],IF(tblWaste[[#This Row],[Unit]]="t",tblWaste[[#This Row],[Weight]]*1000,IF(tblWaste[[#This Row],[Unit]]="lb",tblWaste[[#This Row],[Weight]]*0.45359237,IF(tblWaste[[#This Row],[Unit]]="US ton",tblWaste[[#This Row],[Weight]]*907.18474,"")))))</f>
        <v>240</v>
      </c>
      <c r="L12" s="38" t="str">
        <f>IF(tblWaste[[#This Row],[Date]]="","",IFERROR(INDEX(tblRoutes[Class],MATCH(tblWaste[[#This Row],[Route]],tblRoutes[Route],0)),""))</f>
        <v>Material recovery</v>
      </c>
      <c r="M12" s="38" t="str">
        <f>IF(tblWaste[[#This Row],[Date]]="","",IFERROR(INDEX(tblStreams[Hazardous],MATCH(tblWaste[[#This Row],[Stream]],tblStreams[Stream],0)),""))</f>
        <v>No</v>
      </c>
      <c r="N12" s="37">
        <f>IF(tblWaste[[#This Row],[Date]]="","",IF(OR(tblWaste[[#This Row],[Weight (kg)]]="",tblWaste[[#This Row],[Class]]=""),"",IF(OR(tblWaste[[#This Row],[Class]]="Material recovery",AND(tblWaste[[#This Row],[Class]]="Energy recovery",CountER="Yes")),tblWaste[[#This Row],[Weight (kg)]],0)))</f>
        <v>240</v>
      </c>
      <c r="O12" s="30">
        <f>IF(tblWaste[[#This Row],[Date]]="","",N(tblWaste[[#This Row],[Charge]])-N(tblWaste[[#This Row],[Rebate]]))</f>
        <v>67.8</v>
      </c>
      <c r="P12" s="39">
        <f>IF(tblWaste[[#This Row],[Date]]="","",IF(AND(tblWaste[[#This Row],[Date]]&gt;=FFrom,tblWaste[[#This Row],[Date]]&lt;=FTo),tblWaste[[#This Row],[Date]],""))</f>
        <v>45935</v>
      </c>
      <c r="Q1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2" s="28" t="s">
        <v>86</v>
      </c>
    </row>
    <row r="13" spans="1:18">
      <c r="B13" s="35">
        <v>45936</v>
      </c>
      <c r="C13" s="28" t="s">
        <v>142</v>
      </c>
      <c r="D13" s="28" t="s">
        <v>100</v>
      </c>
      <c r="E13" s="28" t="s">
        <v>118</v>
      </c>
      <c r="F13" s="28" t="s">
        <v>136</v>
      </c>
      <c r="G13" s="36">
        <v>2180</v>
      </c>
      <c r="H13" s="28" t="s">
        <v>77</v>
      </c>
      <c r="I13" s="36">
        <v>302.24</v>
      </c>
      <c r="J13" s="36">
        <v>0</v>
      </c>
      <c r="K13" s="37">
        <f>IF(tblWaste[[#This Row],[Date]]="","",IF(tblWaste[[#This Row],[Unit]]="kg",tblWaste[[#This Row],[Weight]],IF(tblWaste[[#This Row],[Unit]]="t",tblWaste[[#This Row],[Weight]]*1000,IF(tblWaste[[#This Row],[Unit]]="lb",tblWaste[[#This Row],[Weight]]*0.45359237,IF(tblWaste[[#This Row],[Unit]]="US ton",tblWaste[[#This Row],[Weight]]*907.18474,"")))))</f>
        <v>2180</v>
      </c>
      <c r="L13" s="38" t="str">
        <f>IF(tblWaste[[#This Row],[Date]]="","",IFERROR(INDEX(tblRoutes[Class],MATCH(tblWaste[[#This Row],[Route]],tblRoutes[Route],0)),""))</f>
        <v>Disposal</v>
      </c>
      <c r="M13" s="38" t="str">
        <f>IF(tblWaste[[#This Row],[Date]]="","",IFERROR(INDEX(tblStreams[Hazardous],MATCH(tblWaste[[#This Row],[Stream]],tblStreams[Stream],0)),""))</f>
        <v>No</v>
      </c>
      <c r="N13" s="37">
        <f>IF(tblWaste[[#This Row],[Date]]="","",IF(OR(tblWaste[[#This Row],[Weight (kg)]]="",tblWaste[[#This Row],[Class]]=""),"",IF(OR(tblWaste[[#This Row],[Class]]="Material recovery",AND(tblWaste[[#This Row],[Class]]="Energy recovery",CountER="Yes")),tblWaste[[#This Row],[Weight (kg)]],0)))</f>
        <v>0</v>
      </c>
      <c r="O13" s="30">
        <f>IF(tblWaste[[#This Row],[Date]]="","",N(tblWaste[[#This Row],[Charge]])-N(tblWaste[[#This Row],[Rebate]]))</f>
        <v>302.24</v>
      </c>
      <c r="P13" s="39">
        <f>IF(tblWaste[[#This Row],[Date]]="","",IF(AND(tblWaste[[#This Row],[Date]]&gt;=FFrom,tblWaste[[#This Row],[Date]]&lt;=FTo),tblWaste[[#This Row],[Date]],""))</f>
        <v>45936</v>
      </c>
      <c r="Q1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3" s="28" t="s">
        <v>86</v>
      </c>
    </row>
    <row r="14" spans="1:18">
      <c r="B14" s="35">
        <v>45941</v>
      </c>
      <c r="C14" s="28" t="s">
        <v>143</v>
      </c>
      <c r="D14" s="28" t="s">
        <v>81</v>
      </c>
      <c r="E14" s="28" t="s">
        <v>109</v>
      </c>
      <c r="F14" s="28" t="s">
        <v>133</v>
      </c>
      <c r="G14" s="36">
        <v>4.81</v>
      </c>
      <c r="H14" s="28" t="s">
        <v>75</v>
      </c>
      <c r="I14" s="36">
        <v>0</v>
      </c>
      <c r="J14" s="36">
        <v>298.22</v>
      </c>
      <c r="K14" s="37">
        <f>IF(tblWaste[[#This Row],[Date]]="","",IF(tblWaste[[#This Row],[Unit]]="kg",tblWaste[[#This Row],[Weight]],IF(tblWaste[[#This Row],[Unit]]="t",tblWaste[[#This Row],[Weight]]*1000,IF(tblWaste[[#This Row],[Unit]]="lb",tblWaste[[#This Row],[Weight]]*0.45359237,IF(tblWaste[[#This Row],[Unit]]="US ton",tblWaste[[#This Row],[Weight]]*907.18474,"")))))</f>
        <v>4810</v>
      </c>
      <c r="L14" s="38" t="str">
        <f>IF(tblWaste[[#This Row],[Date]]="","",IFERROR(INDEX(tblRoutes[Class],MATCH(tblWaste[[#This Row],[Route]],tblRoutes[Route],0)),""))</f>
        <v>Material recovery</v>
      </c>
      <c r="M14" s="38" t="str">
        <f>IF(tblWaste[[#This Row],[Date]]="","",IFERROR(INDEX(tblStreams[Hazardous],MATCH(tblWaste[[#This Row],[Stream]],tblStreams[Stream],0)),""))</f>
        <v>No</v>
      </c>
      <c r="N14" s="37">
        <f>IF(tblWaste[[#This Row],[Date]]="","",IF(OR(tblWaste[[#This Row],[Weight (kg)]]="",tblWaste[[#This Row],[Class]]=""),"",IF(OR(tblWaste[[#This Row],[Class]]="Material recovery",AND(tblWaste[[#This Row],[Class]]="Energy recovery",CountER="Yes")),tblWaste[[#This Row],[Weight (kg)]],0)))</f>
        <v>4810</v>
      </c>
      <c r="O14" s="30">
        <f>IF(tblWaste[[#This Row],[Date]]="","",N(tblWaste[[#This Row],[Charge]])-N(tblWaste[[#This Row],[Rebate]]))</f>
        <v>-298.22</v>
      </c>
      <c r="P14" s="39">
        <f>IF(tblWaste[[#This Row],[Date]]="","",IF(AND(tblWaste[[#This Row],[Date]]&gt;=FFrom,tblWaste[[#This Row],[Date]]&lt;=FTo),tblWaste[[#This Row],[Date]],""))</f>
        <v>45941</v>
      </c>
      <c r="Q1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4" s="28" t="s">
        <v>86</v>
      </c>
    </row>
    <row r="15" spans="1:18">
      <c r="B15" s="35">
        <v>45941</v>
      </c>
      <c r="C15" s="28" t="s">
        <v>144</v>
      </c>
      <c r="D15" s="28" t="s">
        <v>87</v>
      </c>
      <c r="E15" s="28" t="s">
        <v>118</v>
      </c>
      <c r="F15" s="28" t="s">
        <v>136</v>
      </c>
      <c r="G15" s="36">
        <v>2500</v>
      </c>
      <c r="H15" s="28" t="s">
        <v>77</v>
      </c>
      <c r="I15" s="36">
        <v>340</v>
      </c>
      <c r="J15" s="36">
        <v>0</v>
      </c>
      <c r="K15" s="37">
        <f>IF(tblWaste[[#This Row],[Date]]="","",IF(tblWaste[[#This Row],[Unit]]="kg",tblWaste[[#This Row],[Weight]],IF(tblWaste[[#This Row],[Unit]]="t",tblWaste[[#This Row],[Weight]]*1000,IF(tblWaste[[#This Row],[Unit]]="lb",tblWaste[[#This Row],[Weight]]*0.45359237,IF(tblWaste[[#This Row],[Unit]]="US ton",tblWaste[[#This Row],[Weight]]*907.18474,"")))))</f>
        <v>2500</v>
      </c>
      <c r="L15" s="38" t="str">
        <f>IF(tblWaste[[#This Row],[Date]]="","",IFERROR(INDEX(tblRoutes[Class],MATCH(tblWaste[[#This Row],[Route]],tblRoutes[Route],0)),""))</f>
        <v>Disposal</v>
      </c>
      <c r="M15" s="38" t="str">
        <f>IF(tblWaste[[#This Row],[Date]]="","",IFERROR(INDEX(tblStreams[Hazardous],MATCH(tblWaste[[#This Row],[Stream]],tblStreams[Stream],0)),""))</f>
        <v>No</v>
      </c>
      <c r="N15" s="37">
        <f>IF(tblWaste[[#This Row],[Date]]="","",IF(OR(tblWaste[[#This Row],[Weight (kg)]]="",tblWaste[[#This Row],[Class]]=""),"",IF(OR(tblWaste[[#This Row],[Class]]="Material recovery",AND(tblWaste[[#This Row],[Class]]="Energy recovery",CountER="Yes")),tblWaste[[#This Row],[Weight (kg)]],0)))</f>
        <v>0</v>
      </c>
      <c r="O15" s="30">
        <f>IF(tblWaste[[#This Row],[Date]]="","",N(tblWaste[[#This Row],[Charge]])-N(tblWaste[[#This Row],[Rebate]]))</f>
        <v>340</v>
      </c>
      <c r="P15" s="39">
        <f>IF(tblWaste[[#This Row],[Date]]="","",IF(AND(tblWaste[[#This Row],[Date]]&gt;=FFrom,tblWaste[[#This Row],[Date]]&lt;=FTo),tblWaste[[#This Row],[Date]],""))</f>
        <v>45941</v>
      </c>
      <c r="Q1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5" s="28" t="s">
        <v>86</v>
      </c>
    </row>
    <row r="16" spans="1:18">
      <c r="B16" s="35">
        <v>45941</v>
      </c>
      <c r="C16" s="28" t="s">
        <v>145</v>
      </c>
      <c r="D16" s="28" t="s">
        <v>95</v>
      </c>
      <c r="E16" s="28" t="s">
        <v>111</v>
      </c>
      <c r="F16" s="28" t="s">
        <v>136</v>
      </c>
      <c r="G16" s="36">
        <v>220</v>
      </c>
      <c r="H16" s="28" t="s">
        <v>77</v>
      </c>
      <c r="I16" s="36">
        <v>65.90000000000001</v>
      </c>
      <c r="J16" s="36">
        <v>0</v>
      </c>
      <c r="K16" s="37">
        <f>IF(tblWaste[[#This Row],[Date]]="","",IF(tblWaste[[#This Row],[Unit]]="kg",tblWaste[[#This Row],[Weight]],IF(tblWaste[[#This Row],[Unit]]="t",tblWaste[[#This Row],[Weight]]*1000,IF(tblWaste[[#This Row],[Unit]]="lb",tblWaste[[#This Row],[Weight]]*0.45359237,IF(tblWaste[[#This Row],[Unit]]="US ton",tblWaste[[#This Row],[Weight]]*907.18474,"")))))</f>
        <v>220</v>
      </c>
      <c r="L16" s="38" t="str">
        <f>IF(tblWaste[[#This Row],[Date]]="","",IFERROR(INDEX(tblRoutes[Class],MATCH(tblWaste[[#This Row],[Route]],tblRoutes[Route],0)),""))</f>
        <v>Material recovery</v>
      </c>
      <c r="M16" s="38" t="str">
        <f>IF(tblWaste[[#This Row],[Date]]="","",IFERROR(INDEX(tblStreams[Hazardous],MATCH(tblWaste[[#This Row],[Stream]],tblStreams[Stream],0)),""))</f>
        <v>No</v>
      </c>
      <c r="N16" s="37">
        <f>IF(tblWaste[[#This Row],[Date]]="","",IF(OR(tblWaste[[#This Row],[Weight (kg)]]="",tblWaste[[#This Row],[Class]]=""),"",IF(OR(tblWaste[[#This Row],[Class]]="Material recovery",AND(tblWaste[[#This Row],[Class]]="Energy recovery",CountER="Yes")),tblWaste[[#This Row],[Weight (kg)]],0)))</f>
        <v>220</v>
      </c>
      <c r="O16" s="30">
        <f>IF(tblWaste[[#This Row],[Date]]="","",N(tblWaste[[#This Row],[Charge]])-N(tblWaste[[#This Row],[Rebate]]))</f>
        <v>65.9</v>
      </c>
      <c r="P16" s="39">
        <f>IF(tblWaste[[#This Row],[Date]]="","",IF(AND(tblWaste[[#This Row],[Date]]&gt;=FFrom,tblWaste[[#This Row],[Date]]&lt;=FTo),tblWaste[[#This Row],[Date]],""))</f>
        <v>45941</v>
      </c>
      <c r="Q1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6" s="28" t="s">
        <v>86</v>
      </c>
    </row>
    <row r="17" spans="2:18">
      <c r="B17" s="35">
        <v>45942</v>
      </c>
      <c r="C17" s="28" t="s">
        <v>146</v>
      </c>
      <c r="D17" s="28" t="s">
        <v>100</v>
      </c>
      <c r="E17" s="28" t="s">
        <v>118</v>
      </c>
      <c r="F17" s="28" t="s">
        <v>136</v>
      </c>
      <c r="G17" s="36">
        <v>2050</v>
      </c>
      <c r="H17" s="28" t="s">
        <v>77</v>
      </c>
      <c r="I17" s="36">
        <v>286.9</v>
      </c>
      <c r="J17" s="36">
        <v>0</v>
      </c>
      <c r="K17" s="37">
        <f>IF(tblWaste[[#This Row],[Date]]="","",IF(tblWaste[[#This Row],[Unit]]="kg",tblWaste[[#This Row],[Weight]],IF(tblWaste[[#This Row],[Unit]]="t",tblWaste[[#This Row],[Weight]]*1000,IF(tblWaste[[#This Row],[Unit]]="lb",tblWaste[[#This Row],[Weight]]*0.45359237,IF(tblWaste[[#This Row],[Unit]]="US ton",tblWaste[[#This Row],[Weight]]*907.18474,"")))))</f>
        <v>2050</v>
      </c>
      <c r="L17" s="38" t="str">
        <f>IF(tblWaste[[#This Row],[Date]]="","",IFERROR(INDEX(tblRoutes[Class],MATCH(tblWaste[[#This Row],[Route]],tblRoutes[Route],0)),""))</f>
        <v>Disposal</v>
      </c>
      <c r="M17" s="38" t="str">
        <f>IF(tblWaste[[#This Row],[Date]]="","",IFERROR(INDEX(tblStreams[Hazardous],MATCH(tblWaste[[#This Row],[Stream]],tblStreams[Stream],0)),""))</f>
        <v>No</v>
      </c>
      <c r="N17" s="37">
        <f>IF(tblWaste[[#This Row],[Date]]="","",IF(OR(tblWaste[[#This Row],[Weight (kg)]]="",tblWaste[[#This Row],[Class]]=""),"",IF(OR(tblWaste[[#This Row],[Class]]="Material recovery",AND(tblWaste[[#This Row],[Class]]="Energy recovery",CountER="Yes")),tblWaste[[#This Row],[Weight (kg)]],0)))</f>
        <v>0</v>
      </c>
      <c r="O17" s="30">
        <f>IF(tblWaste[[#This Row],[Date]]="","",N(tblWaste[[#This Row],[Charge]])-N(tblWaste[[#This Row],[Rebate]]))</f>
        <v>286.9</v>
      </c>
      <c r="P17" s="39">
        <f>IF(tblWaste[[#This Row],[Date]]="","",IF(AND(tblWaste[[#This Row],[Date]]&gt;=FFrom,tblWaste[[#This Row],[Date]]&lt;=FTo),tblWaste[[#This Row],[Date]],""))</f>
        <v>45942</v>
      </c>
      <c r="Q1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7" s="28" t="s">
        <v>86</v>
      </c>
    </row>
    <row r="18" spans="2:18">
      <c r="B18" s="35">
        <v>45950</v>
      </c>
      <c r="C18" s="28" t="s">
        <v>147</v>
      </c>
      <c r="D18" s="28" t="s">
        <v>81</v>
      </c>
      <c r="E18" s="28" t="s">
        <v>109</v>
      </c>
      <c r="F18" s="28" t="s">
        <v>133</v>
      </c>
      <c r="G18" s="36">
        <v>5.95</v>
      </c>
      <c r="H18" s="28" t="s">
        <v>75</v>
      </c>
      <c r="I18" s="36">
        <v>0</v>
      </c>
      <c r="J18" s="36">
        <v>368.9</v>
      </c>
      <c r="K18" s="37">
        <f>IF(tblWaste[[#This Row],[Date]]="","",IF(tblWaste[[#This Row],[Unit]]="kg",tblWaste[[#This Row],[Weight]],IF(tblWaste[[#This Row],[Unit]]="t",tblWaste[[#This Row],[Weight]]*1000,IF(tblWaste[[#This Row],[Unit]]="lb",tblWaste[[#This Row],[Weight]]*0.45359237,IF(tblWaste[[#This Row],[Unit]]="US ton",tblWaste[[#This Row],[Weight]]*907.18474,"")))))</f>
        <v>5950</v>
      </c>
      <c r="L18" s="38" t="str">
        <f>IF(tblWaste[[#This Row],[Date]]="","",IFERROR(INDEX(tblRoutes[Class],MATCH(tblWaste[[#This Row],[Route]],tblRoutes[Route],0)),""))</f>
        <v>Material recovery</v>
      </c>
      <c r="M18" s="38" t="str">
        <f>IF(tblWaste[[#This Row],[Date]]="","",IFERROR(INDEX(tblStreams[Hazardous],MATCH(tblWaste[[#This Row],[Stream]],tblStreams[Stream],0)),""))</f>
        <v>No</v>
      </c>
      <c r="N18" s="37">
        <f>IF(tblWaste[[#This Row],[Date]]="","",IF(OR(tblWaste[[#This Row],[Weight (kg)]]="",tblWaste[[#This Row],[Class]]=""),"",IF(OR(tblWaste[[#This Row],[Class]]="Material recovery",AND(tblWaste[[#This Row],[Class]]="Energy recovery",CountER="Yes")),tblWaste[[#This Row],[Weight (kg)]],0)))</f>
        <v>5950</v>
      </c>
      <c r="O18" s="30">
        <f>IF(tblWaste[[#This Row],[Date]]="","",N(tblWaste[[#This Row],[Charge]])-N(tblWaste[[#This Row],[Rebate]]))</f>
        <v>-368.9</v>
      </c>
      <c r="P18" s="39">
        <f>IF(tblWaste[[#This Row],[Date]]="","",IF(AND(tblWaste[[#This Row],[Date]]&gt;=FFrom,tblWaste[[#This Row],[Date]]&lt;=FTo),tblWaste[[#This Row],[Date]],""))</f>
        <v>45950</v>
      </c>
      <c r="Q1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8" s="28" t="s">
        <v>86</v>
      </c>
    </row>
    <row r="19" spans="2:18">
      <c r="B19" s="35">
        <v>45950</v>
      </c>
      <c r="C19" s="28" t="s">
        <v>148</v>
      </c>
      <c r="D19" s="28" t="s">
        <v>100</v>
      </c>
      <c r="E19" s="28" t="s">
        <v>118</v>
      </c>
      <c r="F19" s="28" t="s">
        <v>136</v>
      </c>
      <c r="G19" s="36">
        <v>2210</v>
      </c>
      <c r="H19" s="28" t="s">
        <v>77</v>
      </c>
      <c r="I19" s="36">
        <v>305.78</v>
      </c>
      <c r="J19" s="36">
        <v>0</v>
      </c>
      <c r="K19" s="37">
        <f>IF(tblWaste[[#This Row],[Date]]="","",IF(tblWaste[[#This Row],[Unit]]="kg",tblWaste[[#This Row],[Weight]],IF(tblWaste[[#This Row],[Unit]]="t",tblWaste[[#This Row],[Weight]]*1000,IF(tblWaste[[#This Row],[Unit]]="lb",tblWaste[[#This Row],[Weight]]*0.45359237,IF(tblWaste[[#This Row],[Unit]]="US ton",tblWaste[[#This Row],[Weight]]*907.18474,"")))))</f>
        <v>2210</v>
      </c>
      <c r="L19" s="38" t="str">
        <f>IF(tblWaste[[#This Row],[Date]]="","",IFERROR(INDEX(tblRoutes[Class],MATCH(tblWaste[[#This Row],[Route]],tblRoutes[Route],0)),""))</f>
        <v>Disposal</v>
      </c>
      <c r="M19" s="38" t="str">
        <f>IF(tblWaste[[#This Row],[Date]]="","",IFERROR(INDEX(tblStreams[Hazardous],MATCH(tblWaste[[#This Row],[Stream]],tblStreams[Stream],0)),""))</f>
        <v>No</v>
      </c>
      <c r="N19" s="37">
        <f>IF(tblWaste[[#This Row],[Date]]="","",IF(OR(tblWaste[[#This Row],[Weight (kg)]]="",tblWaste[[#This Row],[Class]]=""),"",IF(OR(tblWaste[[#This Row],[Class]]="Material recovery",AND(tblWaste[[#This Row],[Class]]="Energy recovery",CountER="Yes")),tblWaste[[#This Row],[Weight (kg)]],0)))</f>
        <v>0</v>
      </c>
      <c r="O19" s="30">
        <f>IF(tblWaste[[#This Row],[Date]]="","",N(tblWaste[[#This Row],[Charge]])-N(tblWaste[[#This Row],[Rebate]]))</f>
        <v>305.78</v>
      </c>
      <c r="P19" s="39">
        <f>IF(tblWaste[[#This Row],[Date]]="","",IF(AND(tblWaste[[#This Row],[Date]]&gt;=FFrom,tblWaste[[#This Row],[Date]]&lt;=FTo),tblWaste[[#This Row],[Date]],""))</f>
        <v>45950</v>
      </c>
      <c r="Q1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9" s="28" t="s">
        <v>86</v>
      </c>
    </row>
    <row r="20" spans="2:18">
      <c r="B20" s="35">
        <v>45954</v>
      </c>
      <c r="C20" s="28" t="s">
        <v>149</v>
      </c>
      <c r="D20" s="28" t="s">
        <v>100</v>
      </c>
      <c r="E20" s="28" t="s">
        <v>118</v>
      </c>
      <c r="F20" s="28" t="s">
        <v>136</v>
      </c>
      <c r="G20" s="36">
        <v>2090</v>
      </c>
      <c r="H20" s="28" t="s">
        <v>77</v>
      </c>
      <c r="I20" s="36">
        <v>291.62</v>
      </c>
      <c r="J20" s="36">
        <v>0</v>
      </c>
      <c r="K20" s="37">
        <f>IF(tblWaste[[#This Row],[Date]]="","",IF(tblWaste[[#This Row],[Unit]]="kg",tblWaste[[#This Row],[Weight]],IF(tblWaste[[#This Row],[Unit]]="t",tblWaste[[#This Row],[Weight]]*1000,IF(tblWaste[[#This Row],[Unit]]="lb",tblWaste[[#This Row],[Weight]]*0.45359237,IF(tblWaste[[#This Row],[Unit]]="US ton",tblWaste[[#This Row],[Weight]]*907.18474,"")))))</f>
        <v>2090</v>
      </c>
      <c r="L20" s="38" t="str">
        <f>IF(tblWaste[[#This Row],[Date]]="","",IFERROR(INDEX(tblRoutes[Class],MATCH(tblWaste[[#This Row],[Route]],tblRoutes[Route],0)),""))</f>
        <v>Disposal</v>
      </c>
      <c r="M20" s="38" t="str">
        <f>IF(tblWaste[[#This Row],[Date]]="","",IFERROR(INDEX(tblStreams[Hazardous],MATCH(tblWaste[[#This Row],[Stream]],tblStreams[Stream],0)),""))</f>
        <v>No</v>
      </c>
      <c r="N20" s="37">
        <f>IF(tblWaste[[#This Row],[Date]]="","",IF(OR(tblWaste[[#This Row],[Weight (kg)]]="",tblWaste[[#This Row],[Class]]=""),"",IF(OR(tblWaste[[#This Row],[Class]]="Material recovery",AND(tblWaste[[#This Row],[Class]]="Energy recovery",CountER="Yes")),tblWaste[[#This Row],[Weight (kg)]],0)))</f>
        <v>0</v>
      </c>
      <c r="O20" s="30">
        <f>IF(tblWaste[[#This Row],[Date]]="","",N(tblWaste[[#This Row],[Charge]])-N(tblWaste[[#This Row],[Rebate]]))</f>
        <v>291.62</v>
      </c>
      <c r="P20" s="39">
        <f>IF(tblWaste[[#This Row],[Date]]="","",IF(AND(tblWaste[[#This Row],[Date]]&gt;=FFrom,tblWaste[[#This Row],[Date]]&lt;=FTo),tblWaste[[#This Row],[Date]],""))</f>
        <v>45954</v>
      </c>
      <c r="Q2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20" s="28" t="s">
        <v>86</v>
      </c>
    </row>
    <row r="21" spans="2:18">
      <c r="B21" s="35">
        <v>45957</v>
      </c>
      <c r="C21" s="28" t="s">
        <v>150</v>
      </c>
      <c r="D21" s="28" t="s">
        <v>81</v>
      </c>
      <c r="E21" s="28" t="s">
        <v>109</v>
      </c>
      <c r="F21" s="28" t="s">
        <v>133</v>
      </c>
      <c r="G21" s="36">
        <v>5.02</v>
      </c>
      <c r="H21" s="28" t="s">
        <v>75</v>
      </c>
      <c r="I21" s="36">
        <v>0</v>
      </c>
      <c r="J21" s="36">
        <v>311.24</v>
      </c>
      <c r="K21" s="37">
        <f>IF(tblWaste[[#This Row],[Date]]="","",IF(tblWaste[[#This Row],[Unit]]="kg",tblWaste[[#This Row],[Weight]],IF(tblWaste[[#This Row],[Unit]]="t",tblWaste[[#This Row],[Weight]]*1000,IF(tblWaste[[#This Row],[Unit]]="lb",tblWaste[[#This Row],[Weight]]*0.45359237,IF(tblWaste[[#This Row],[Unit]]="US ton",tblWaste[[#This Row],[Weight]]*907.18474,"")))))</f>
        <v>5020</v>
      </c>
      <c r="L21" s="38" t="str">
        <f>IF(tblWaste[[#This Row],[Date]]="","",IFERROR(INDEX(tblRoutes[Class],MATCH(tblWaste[[#This Row],[Route]],tblRoutes[Route],0)),""))</f>
        <v>Material recovery</v>
      </c>
      <c r="M21" s="38" t="str">
        <f>IF(tblWaste[[#This Row],[Date]]="","",IFERROR(INDEX(tblStreams[Hazardous],MATCH(tblWaste[[#This Row],[Stream]],tblStreams[Stream],0)),""))</f>
        <v>No</v>
      </c>
      <c r="N21" s="37">
        <f>IF(tblWaste[[#This Row],[Date]]="","",IF(OR(tblWaste[[#This Row],[Weight (kg)]]="",tblWaste[[#This Row],[Class]]=""),"",IF(OR(tblWaste[[#This Row],[Class]]="Material recovery",AND(tblWaste[[#This Row],[Class]]="Energy recovery",CountER="Yes")),tblWaste[[#This Row],[Weight (kg)]],0)))</f>
        <v>5020</v>
      </c>
      <c r="O21" s="30">
        <f>IF(tblWaste[[#This Row],[Date]]="","",N(tblWaste[[#This Row],[Charge]])-N(tblWaste[[#This Row],[Rebate]]))</f>
        <v>-311.24</v>
      </c>
      <c r="P21" s="39">
        <f>IF(tblWaste[[#This Row],[Date]]="","",IF(AND(tblWaste[[#This Row],[Date]]&gt;=FFrom,tblWaste[[#This Row],[Date]]&lt;=FTo),tblWaste[[#This Row],[Date]],""))</f>
        <v>45957</v>
      </c>
      <c r="Q2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21" s="28" t="s">
        <v>86</v>
      </c>
    </row>
    <row r="22" spans="2:18">
      <c r="B22" s="35">
        <v>45964</v>
      </c>
      <c r="C22" s="28" t="s">
        <v>151</v>
      </c>
      <c r="D22" s="28" t="s">
        <v>90</v>
      </c>
      <c r="E22" s="28" t="s">
        <v>109</v>
      </c>
      <c r="F22" s="28" t="s">
        <v>138</v>
      </c>
      <c r="G22" s="36">
        <v>1760</v>
      </c>
      <c r="H22" s="28" t="s">
        <v>77</v>
      </c>
      <c r="I22" s="36">
        <v>106.6</v>
      </c>
      <c r="J22" s="36">
        <v>0</v>
      </c>
      <c r="K22" s="37">
        <f>IF(tblWaste[[#This Row],[Date]]="","",IF(tblWaste[[#This Row],[Unit]]="kg",tblWaste[[#This Row],[Weight]],IF(tblWaste[[#This Row],[Unit]]="t",tblWaste[[#This Row],[Weight]]*1000,IF(tblWaste[[#This Row],[Unit]]="lb",tblWaste[[#This Row],[Weight]]*0.45359237,IF(tblWaste[[#This Row],[Unit]]="US ton",tblWaste[[#This Row],[Weight]]*907.18474,"")))))</f>
        <v>1760</v>
      </c>
      <c r="L22" s="38" t="str">
        <f>IF(tblWaste[[#This Row],[Date]]="","",IFERROR(INDEX(tblRoutes[Class],MATCH(tblWaste[[#This Row],[Route]],tblRoutes[Route],0)),""))</f>
        <v>Material recovery</v>
      </c>
      <c r="M22" s="38" t="str">
        <f>IF(tblWaste[[#This Row],[Date]]="","",IFERROR(INDEX(tblStreams[Hazardous],MATCH(tblWaste[[#This Row],[Stream]],tblStreams[Stream],0)),""))</f>
        <v>No</v>
      </c>
      <c r="N22" s="37">
        <f>IF(tblWaste[[#This Row],[Date]]="","",IF(OR(tblWaste[[#This Row],[Weight (kg)]]="",tblWaste[[#This Row],[Class]]=""),"",IF(OR(tblWaste[[#This Row],[Class]]="Material recovery",AND(tblWaste[[#This Row],[Class]]="Energy recovery",CountER="Yes")),tblWaste[[#This Row],[Weight (kg)]],0)))</f>
        <v>1760</v>
      </c>
      <c r="O22" s="30">
        <f>IF(tblWaste[[#This Row],[Date]]="","",N(tblWaste[[#This Row],[Charge]])-N(tblWaste[[#This Row],[Rebate]]))</f>
        <v>106.6</v>
      </c>
      <c r="P22" s="39">
        <f>IF(tblWaste[[#This Row],[Date]]="","",IF(AND(tblWaste[[#This Row],[Date]]&gt;=FFrom,tblWaste[[#This Row],[Date]]&lt;=FTo),tblWaste[[#This Row],[Date]],""))</f>
        <v>45964</v>
      </c>
      <c r="Q2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22" s="28" t="s">
        <v>86</v>
      </c>
    </row>
    <row r="23" spans="2:18">
      <c r="B23" s="35">
        <v>45964</v>
      </c>
      <c r="C23" s="28" t="s">
        <v>152</v>
      </c>
      <c r="D23" s="28" t="s">
        <v>93</v>
      </c>
      <c r="E23" s="28" t="s">
        <v>109</v>
      </c>
      <c r="F23" s="28" t="s">
        <v>140</v>
      </c>
      <c r="G23" s="36">
        <v>1230</v>
      </c>
      <c r="H23" s="28" t="s">
        <v>77</v>
      </c>
      <c r="I23" s="36">
        <v>0</v>
      </c>
      <c r="J23" s="36">
        <v>178.35</v>
      </c>
      <c r="K23" s="37">
        <f>IF(tblWaste[[#This Row],[Date]]="","",IF(tblWaste[[#This Row],[Unit]]="kg",tblWaste[[#This Row],[Weight]],IF(tblWaste[[#This Row],[Unit]]="t",tblWaste[[#This Row],[Weight]]*1000,IF(tblWaste[[#This Row],[Unit]]="lb",tblWaste[[#This Row],[Weight]]*0.45359237,IF(tblWaste[[#This Row],[Unit]]="US ton",tblWaste[[#This Row],[Weight]]*907.18474,"")))))</f>
        <v>1230</v>
      </c>
      <c r="L23" s="38" t="str">
        <f>IF(tblWaste[[#This Row],[Date]]="","",IFERROR(INDEX(tblRoutes[Class],MATCH(tblWaste[[#This Row],[Route]],tblRoutes[Route],0)),""))</f>
        <v>Material recovery</v>
      </c>
      <c r="M23" s="38" t="str">
        <f>IF(tblWaste[[#This Row],[Date]]="","",IFERROR(INDEX(tblStreams[Hazardous],MATCH(tblWaste[[#This Row],[Stream]],tblStreams[Stream],0)),""))</f>
        <v>No</v>
      </c>
      <c r="N23" s="37">
        <f>IF(tblWaste[[#This Row],[Date]]="","",IF(OR(tblWaste[[#This Row],[Weight (kg)]]="",tblWaste[[#This Row],[Class]]=""),"",IF(OR(tblWaste[[#This Row],[Class]]="Material recovery",AND(tblWaste[[#This Row],[Class]]="Energy recovery",CountER="Yes")),tblWaste[[#This Row],[Weight (kg)]],0)))</f>
        <v>1230</v>
      </c>
      <c r="O23" s="30">
        <f>IF(tblWaste[[#This Row],[Date]]="","",N(tblWaste[[#This Row],[Charge]])-N(tblWaste[[#This Row],[Rebate]]))</f>
        <v>-178.35</v>
      </c>
      <c r="P23" s="39">
        <f>IF(tblWaste[[#This Row],[Date]]="","",IF(AND(tblWaste[[#This Row],[Date]]&gt;=FFrom,tblWaste[[#This Row],[Date]]&lt;=FTo),tblWaste[[#This Row],[Date]],""))</f>
        <v>45964</v>
      </c>
      <c r="Q2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23" s="28" t="s">
        <v>86</v>
      </c>
    </row>
    <row r="24" spans="2:18">
      <c r="B24" s="35">
        <v>45964</v>
      </c>
      <c r="C24" s="28" t="s">
        <v>153</v>
      </c>
      <c r="D24" s="28" t="s">
        <v>97</v>
      </c>
      <c r="E24" s="28" t="s">
        <v>113</v>
      </c>
      <c r="F24" s="28" t="s">
        <v>154</v>
      </c>
      <c r="G24" s="36">
        <v>1560</v>
      </c>
      <c r="H24" s="28" t="s">
        <v>77</v>
      </c>
      <c r="I24" s="36">
        <v>1043.4</v>
      </c>
      <c r="J24" s="36">
        <v>0</v>
      </c>
      <c r="K24" s="37">
        <f>IF(tblWaste[[#This Row],[Date]]="","",IF(tblWaste[[#This Row],[Unit]]="kg",tblWaste[[#This Row],[Weight]],IF(tblWaste[[#This Row],[Unit]]="t",tblWaste[[#This Row],[Weight]]*1000,IF(tblWaste[[#This Row],[Unit]]="lb",tblWaste[[#This Row],[Weight]]*0.45359237,IF(tblWaste[[#This Row],[Unit]]="US ton",tblWaste[[#This Row],[Weight]]*907.18474,"")))))</f>
        <v>1560</v>
      </c>
      <c r="L24" s="38" t="str">
        <f>IF(tblWaste[[#This Row],[Date]]="","",IFERROR(INDEX(tblRoutes[Class],MATCH(tblWaste[[#This Row],[Route]],tblRoutes[Route],0)),""))</f>
        <v>Energy recovery</v>
      </c>
      <c r="M24" s="38" t="str">
        <f>IF(tblWaste[[#This Row],[Date]]="","",IFERROR(INDEX(tblStreams[Hazardous],MATCH(tblWaste[[#This Row],[Stream]],tblStreams[Stream],0)),""))</f>
        <v>Yes</v>
      </c>
      <c r="N24" s="37">
        <f>IF(tblWaste[[#This Row],[Date]]="","",IF(OR(tblWaste[[#This Row],[Weight (kg)]]="",tblWaste[[#This Row],[Class]]=""),"",IF(OR(tblWaste[[#This Row],[Class]]="Material recovery",AND(tblWaste[[#This Row],[Class]]="Energy recovery",CountER="Yes")),tblWaste[[#This Row],[Weight (kg)]],0)))</f>
        <v>1560</v>
      </c>
      <c r="O24" s="30">
        <f>IF(tblWaste[[#This Row],[Date]]="","",N(tblWaste[[#This Row],[Charge]])-N(tblWaste[[#This Row],[Rebate]]))</f>
        <v>1043.4</v>
      </c>
      <c r="P24" s="39">
        <f>IF(tblWaste[[#This Row],[Date]]="","",IF(AND(tblWaste[[#This Row],[Date]]&gt;=FFrom,tblWaste[[#This Row],[Date]]&lt;=FTo),tblWaste[[#This Row],[Date]],""))</f>
        <v>45964</v>
      </c>
      <c r="Q2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24" s="28" t="s">
        <v>86</v>
      </c>
    </row>
    <row r="25" spans="2:18">
      <c r="B25" s="35">
        <v>45965</v>
      </c>
      <c r="C25" s="28" t="s">
        <v>155</v>
      </c>
      <c r="D25" s="28" t="s">
        <v>87</v>
      </c>
      <c r="E25" s="28" t="s">
        <v>118</v>
      </c>
      <c r="F25" s="28" t="s">
        <v>136</v>
      </c>
      <c r="G25" s="36">
        <v>2380</v>
      </c>
      <c r="H25" s="28" t="s">
        <v>77</v>
      </c>
      <c r="I25" s="36">
        <v>325.84</v>
      </c>
      <c r="J25" s="36">
        <v>0</v>
      </c>
      <c r="K25" s="37">
        <f>IF(tblWaste[[#This Row],[Date]]="","",IF(tblWaste[[#This Row],[Unit]]="kg",tblWaste[[#This Row],[Weight]],IF(tblWaste[[#This Row],[Unit]]="t",tblWaste[[#This Row],[Weight]]*1000,IF(tblWaste[[#This Row],[Unit]]="lb",tblWaste[[#This Row],[Weight]]*0.45359237,IF(tblWaste[[#This Row],[Unit]]="US ton",tblWaste[[#This Row],[Weight]]*907.18474,"")))))</f>
        <v>2380</v>
      </c>
      <c r="L25" s="38" t="str">
        <f>IF(tblWaste[[#This Row],[Date]]="","",IFERROR(INDEX(tblRoutes[Class],MATCH(tblWaste[[#This Row],[Route]],tblRoutes[Route],0)),""))</f>
        <v>Disposal</v>
      </c>
      <c r="M25" s="38" t="str">
        <f>IF(tblWaste[[#This Row],[Date]]="","",IFERROR(INDEX(tblStreams[Hazardous],MATCH(tblWaste[[#This Row],[Stream]],tblStreams[Stream],0)),""))</f>
        <v>No</v>
      </c>
      <c r="N25" s="37">
        <f>IF(tblWaste[[#This Row],[Date]]="","",IF(OR(tblWaste[[#This Row],[Weight (kg)]]="",tblWaste[[#This Row],[Class]]=""),"",IF(OR(tblWaste[[#This Row],[Class]]="Material recovery",AND(tblWaste[[#This Row],[Class]]="Energy recovery",CountER="Yes")),tblWaste[[#This Row],[Weight (kg)]],0)))</f>
        <v>0</v>
      </c>
      <c r="O25" s="30">
        <f>IF(tblWaste[[#This Row],[Date]]="","",N(tblWaste[[#This Row],[Charge]])-N(tblWaste[[#This Row],[Rebate]]))</f>
        <v>325.84</v>
      </c>
      <c r="P25" s="39">
        <f>IF(tblWaste[[#This Row],[Date]]="","",IF(AND(tblWaste[[#This Row],[Date]]&gt;=FFrom,tblWaste[[#This Row],[Date]]&lt;=FTo),tblWaste[[#This Row],[Date]],""))</f>
        <v>45965</v>
      </c>
      <c r="Q2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25" s="28" t="s">
        <v>86</v>
      </c>
    </row>
    <row r="26" spans="2:18">
      <c r="B26" s="35">
        <v>45967</v>
      </c>
      <c r="C26" s="28" t="s">
        <v>156</v>
      </c>
      <c r="D26" s="28" t="s">
        <v>81</v>
      </c>
      <c r="E26" s="28" t="s">
        <v>109</v>
      </c>
      <c r="F26" s="28" t="s">
        <v>133</v>
      </c>
      <c r="G26" s="36">
        <v>5.79</v>
      </c>
      <c r="H26" s="28" t="s">
        <v>75</v>
      </c>
      <c r="I26" s="36">
        <v>0</v>
      </c>
      <c r="J26" s="36">
        <v>358.98</v>
      </c>
      <c r="K26" s="37">
        <f>IF(tblWaste[[#This Row],[Date]]="","",IF(tblWaste[[#This Row],[Unit]]="kg",tblWaste[[#This Row],[Weight]],IF(tblWaste[[#This Row],[Unit]]="t",tblWaste[[#This Row],[Weight]]*1000,IF(tblWaste[[#This Row],[Unit]]="lb",tblWaste[[#This Row],[Weight]]*0.45359237,IF(tblWaste[[#This Row],[Unit]]="US ton",tblWaste[[#This Row],[Weight]]*907.18474,"")))))</f>
        <v>5790</v>
      </c>
      <c r="L26" s="38" t="str">
        <f>IF(tblWaste[[#This Row],[Date]]="","",IFERROR(INDEX(tblRoutes[Class],MATCH(tblWaste[[#This Row],[Route]],tblRoutes[Route],0)),""))</f>
        <v>Material recovery</v>
      </c>
      <c r="M26" s="38" t="str">
        <f>IF(tblWaste[[#This Row],[Date]]="","",IFERROR(INDEX(tblStreams[Hazardous],MATCH(tblWaste[[#This Row],[Stream]],tblStreams[Stream],0)),""))</f>
        <v>No</v>
      </c>
      <c r="N26" s="37">
        <f>IF(tblWaste[[#This Row],[Date]]="","",IF(OR(tblWaste[[#This Row],[Weight (kg)]]="",tblWaste[[#This Row],[Class]]=""),"",IF(OR(tblWaste[[#This Row],[Class]]="Material recovery",AND(tblWaste[[#This Row],[Class]]="Energy recovery",CountER="Yes")),tblWaste[[#This Row],[Weight (kg)]],0)))</f>
        <v>5790</v>
      </c>
      <c r="O26" s="30">
        <f>IF(tblWaste[[#This Row],[Date]]="","",N(tblWaste[[#This Row],[Charge]])-N(tblWaste[[#This Row],[Rebate]]))</f>
        <v>-358.98</v>
      </c>
      <c r="P26" s="39">
        <f>IF(tblWaste[[#This Row],[Date]]="","",IF(AND(tblWaste[[#This Row],[Date]]&gt;=FFrom,tblWaste[[#This Row],[Date]]&lt;=FTo),tblWaste[[#This Row],[Date]],""))</f>
        <v>45967</v>
      </c>
      <c r="Q2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26" s="28" t="s">
        <v>86</v>
      </c>
    </row>
    <row r="27" spans="2:18">
      <c r="B27" s="35">
        <v>45967</v>
      </c>
      <c r="C27" s="28" t="s">
        <v>157</v>
      </c>
      <c r="D27" s="28" t="s">
        <v>85</v>
      </c>
      <c r="E27" s="28" t="s">
        <v>109</v>
      </c>
      <c r="F27" s="28" t="s">
        <v>133</v>
      </c>
      <c r="G27" s="36">
        <v>840</v>
      </c>
      <c r="H27" s="28" t="s">
        <v>77</v>
      </c>
      <c r="I27" s="36">
        <v>0</v>
      </c>
      <c r="J27" s="36">
        <v>16.8</v>
      </c>
      <c r="K27" s="37">
        <f>IF(tblWaste[[#This Row],[Date]]="","",IF(tblWaste[[#This Row],[Unit]]="kg",tblWaste[[#This Row],[Weight]],IF(tblWaste[[#This Row],[Unit]]="t",tblWaste[[#This Row],[Weight]]*1000,IF(tblWaste[[#This Row],[Unit]]="lb",tblWaste[[#This Row],[Weight]]*0.45359237,IF(tblWaste[[#This Row],[Unit]]="US ton",tblWaste[[#This Row],[Weight]]*907.18474,"")))))</f>
        <v>840</v>
      </c>
      <c r="L27" s="38" t="str">
        <f>IF(tblWaste[[#This Row],[Date]]="","",IFERROR(INDEX(tblRoutes[Class],MATCH(tblWaste[[#This Row],[Route]],tblRoutes[Route],0)),""))</f>
        <v>Material recovery</v>
      </c>
      <c r="M27" s="38" t="str">
        <f>IF(tblWaste[[#This Row],[Date]]="","",IFERROR(INDEX(tblStreams[Hazardous],MATCH(tblWaste[[#This Row],[Stream]],tblStreams[Stream],0)),""))</f>
        <v>No</v>
      </c>
      <c r="N27" s="37">
        <f>IF(tblWaste[[#This Row],[Date]]="","",IF(OR(tblWaste[[#This Row],[Weight (kg)]]="",tblWaste[[#This Row],[Class]]=""),"",IF(OR(tblWaste[[#This Row],[Class]]="Material recovery",AND(tblWaste[[#This Row],[Class]]="Energy recovery",CountER="Yes")),tblWaste[[#This Row],[Weight (kg)]],0)))</f>
        <v>840</v>
      </c>
      <c r="O27" s="30">
        <f>IF(tblWaste[[#This Row],[Date]]="","",N(tblWaste[[#This Row],[Charge]])-N(tblWaste[[#This Row],[Rebate]]))</f>
        <v>-16.8</v>
      </c>
      <c r="P27" s="39">
        <f>IF(tblWaste[[#This Row],[Date]]="","",IF(AND(tblWaste[[#This Row],[Date]]&gt;=FFrom,tblWaste[[#This Row],[Date]]&lt;=FTo),tblWaste[[#This Row],[Date]],""))</f>
        <v>45967</v>
      </c>
      <c r="Q2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27" s="28" t="s">
        <v>86</v>
      </c>
    </row>
    <row r="28" spans="2:18">
      <c r="B28" s="35">
        <v>45967</v>
      </c>
      <c r="C28" s="28" t="s">
        <v>158</v>
      </c>
      <c r="D28" s="28" t="s">
        <v>95</v>
      </c>
      <c r="E28" s="28" t="s">
        <v>111</v>
      </c>
      <c r="F28" s="28" t="s">
        <v>136</v>
      </c>
      <c r="G28" s="36">
        <v>300</v>
      </c>
      <c r="H28" s="28" t="s">
        <v>77</v>
      </c>
      <c r="I28" s="36">
        <v>73.5</v>
      </c>
      <c r="J28" s="36">
        <v>0</v>
      </c>
      <c r="K28" s="37">
        <f>IF(tblWaste[[#This Row],[Date]]="","",IF(tblWaste[[#This Row],[Unit]]="kg",tblWaste[[#This Row],[Weight]],IF(tblWaste[[#This Row],[Unit]]="t",tblWaste[[#This Row],[Weight]]*1000,IF(tblWaste[[#This Row],[Unit]]="lb",tblWaste[[#This Row],[Weight]]*0.45359237,IF(tblWaste[[#This Row],[Unit]]="US ton",tblWaste[[#This Row],[Weight]]*907.18474,"")))))</f>
        <v>300</v>
      </c>
      <c r="L28" s="38" t="str">
        <f>IF(tblWaste[[#This Row],[Date]]="","",IFERROR(INDEX(tblRoutes[Class],MATCH(tblWaste[[#This Row],[Route]],tblRoutes[Route],0)),""))</f>
        <v>Material recovery</v>
      </c>
      <c r="M28" s="38" t="str">
        <f>IF(tblWaste[[#This Row],[Date]]="","",IFERROR(INDEX(tblStreams[Hazardous],MATCH(tblWaste[[#This Row],[Stream]],tblStreams[Stream],0)),""))</f>
        <v>No</v>
      </c>
      <c r="N28" s="37">
        <f>IF(tblWaste[[#This Row],[Date]]="","",IF(OR(tblWaste[[#This Row],[Weight (kg)]]="",tblWaste[[#This Row],[Class]]=""),"",IF(OR(tblWaste[[#This Row],[Class]]="Material recovery",AND(tblWaste[[#This Row],[Class]]="Energy recovery",CountER="Yes")),tblWaste[[#This Row],[Weight (kg)]],0)))</f>
        <v>300</v>
      </c>
      <c r="O28" s="30">
        <f>IF(tblWaste[[#This Row],[Date]]="","",N(tblWaste[[#This Row],[Charge]])-N(tblWaste[[#This Row],[Rebate]]))</f>
        <v>73.5</v>
      </c>
      <c r="P28" s="39">
        <f>IF(tblWaste[[#This Row],[Date]]="","",IF(AND(tblWaste[[#This Row],[Date]]&gt;=FFrom,tblWaste[[#This Row],[Date]]&lt;=FTo),tblWaste[[#This Row],[Date]],""))</f>
        <v>45967</v>
      </c>
      <c r="Q2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28" s="28" t="s">
        <v>86</v>
      </c>
    </row>
    <row r="29" spans="2:18">
      <c r="B29" s="35">
        <v>45967</v>
      </c>
      <c r="C29" s="28" t="s">
        <v>159</v>
      </c>
      <c r="D29" s="28" t="s">
        <v>100</v>
      </c>
      <c r="E29" s="28" t="s">
        <v>118</v>
      </c>
      <c r="F29" s="28" t="s">
        <v>136</v>
      </c>
      <c r="G29" s="36">
        <v>2180</v>
      </c>
      <c r="H29" s="28" t="s">
        <v>77</v>
      </c>
      <c r="I29" s="36">
        <v>302.24</v>
      </c>
      <c r="J29" s="36">
        <v>0</v>
      </c>
      <c r="K29" s="37">
        <f>IF(tblWaste[[#This Row],[Date]]="","",IF(tblWaste[[#This Row],[Unit]]="kg",tblWaste[[#This Row],[Weight]],IF(tblWaste[[#This Row],[Unit]]="t",tblWaste[[#This Row],[Weight]]*1000,IF(tblWaste[[#This Row],[Unit]]="lb",tblWaste[[#This Row],[Weight]]*0.45359237,IF(tblWaste[[#This Row],[Unit]]="US ton",tblWaste[[#This Row],[Weight]]*907.18474,"")))))</f>
        <v>2180</v>
      </c>
      <c r="L29" s="38" t="str">
        <f>IF(tblWaste[[#This Row],[Date]]="","",IFERROR(INDEX(tblRoutes[Class],MATCH(tblWaste[[#This Row],[Route]],tblRoutes[Route],0)),""))</f>
        <v>Disposal</v>
      </c>
      <c r="M29" s="38" t="str">
        <f>IF(tblWaste[[#This Row],[Date]]="","",IFERROR(INDEX(tblStreams[Hazardous],MATCH(tblWaste[[#This Row],[Stream]],tblStreams[Stream],0)),""))</f>
        <v>No</v>
      </c>
      <c r="N29" s="37">
        <f>IF(tblWaste[[#This Row],[Date]]="","",IF(OR(tblWaste[[#This Row],[Weight (kg)]]="",tblWaste[[#This Row],[Class]]=""),"",IF(OR(tblWaste[[#This Row],[Class]]="Material recovery",AND(tblWaste[[#This Row],[Class]]="Energy recovery",CountER="Yes")),tblWaste[[#This Row],[Weight (kg)]],0)))</f>
        <v>0</v>
      </c>
      <c r="O29" s="30">
        <f>IF(tblWaste[[#This Row],[Date]]="","",N(tblWaste[[#This Row],[Charge]])-N(tblWaste[[#This Row],[Rebate]]))</f>
        <v>302.24</v>
      </c>
      <c r="P29" s="39">
        <f>IF(tblWaste[[#This Row],[Date]]="","",IF(AND(tblWaste[[#This Row],[Date]]&gt;=FFrom,tblWaste[[#This Row],[Date]]&lt;=FTo),tblWaste[[#This Row],[Date]],""))</f>
        <v>45967</v>
      </c>
      <c r="Q2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29" s="28" t="s">
        <v>86</v>
      </c>
    </row>
    <row r="30" spans="2:18">
      <c r="B30" s="35">
        <v>45971</v>
      </c>
      <c r="C30" s="28" t="s">
        <v>160</v>
      </c>
      <c r="D30" s="28" t="s">
        <v>81</v>
      </c>
      <c r="E30" s="28" t="s">
        <v>109</v>
      </c>
      <c r="F30" s="28" t="s">
        <v>133</v>
      </c>
      <c r="G30" s="36">
        <v>4.65</v>
      </c>
      <c r="H30" s="28" t="s">
        <v>75</v>
      </c>
      <c r="I30" s="36">
        <v>0</v>
      </c>
      <c r="J30" s="36">
        <v>288.3</v>
      </c>
      <c r="K30" s="37">
        <f>IF(tblWaste[[#This Row],[Date]]="","",IF(tblWaste[[#This Row],[Unit]]="kg",tblWaste[[#This Row],[Weight]],IF(tblWaste[[#This Row],[Unit]]="t",tblWaste[[#This Row],[Weight]]*1000,IF(tblWaste[[#This Row],[Unit]]="lb",tblWaste[[#This Row],[Weight]]*0.45359237,IF(tblWaste[[#This Row],[Unit]]="US ton",tblWaste[[#This Row],[Weight]]*907.18474,"")))))</f>
        <v>4650</v>
      </c>
      <c r="L30" s="38" t="str">
        <f>IF(tblWaste[[#This Row],[Date]]="","",IFERROR(INDEX(tblRoutes[Class],MATCH(tblWaste[[#This Row],[Route]],tblRoutes[Route],0)),""))</f>
        <v>Material recovery</v>
      </c>
      <c r="M30" s="38" t="str">
        <f>IF(tblWaste[[#This Row],[Date]]="","",IFERROR(INDEX(tblStreams[Hazardous],MATCH(tblWaste[[#This Row],[Stream]],tblStreams[Stream],0)),""))</f>
        <v>No</v>
      </c>
      <c r="N30" s="37">
        <f>IF(tblWaste[[#This Row],[Date]]="","",IF(OR(tblWaste[[#This Row],[Weight (kg)]]="",tblWaste[[#This Row],[Class]]=""),"",IF(OR(tblWaste[[#This Row],[Class]]="Material recovery",AND(tblWaste[[#This Row],[Class]]="Energy recovery",CountER="Yes")),tblWaste[[#This Row],[Weight (kg)]],0)))</f>
        <v>4650</v>
      </c>
      <c r="O30" s="30">
        <f>IF(tblWaste[[#This Row],[Date]]="","",N(tblWaste[[#This Row],[Charge]])-N(tblWaste[[#This Row],[Rebate]]))</f>
        <v>-288.3</v>
      </c>
      <c r="P30" s="39">
        <f>IF(tblWaste[[#This Row],[Date]]="","",IF(AND(tblWaste[[#This Row],[Date]]&gt;=FFrom,tblWaste[[#This Row],[Date]]&lt;=FTo),tblWaste[[#This Row],[Date]],""))</f>
        <v>45971</v>
      </c>
      <c r="Q3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30" s="28" t="s">
        <v>86</v>
      </c>
    </row>
    <row r="31" spans="2:18">
      <c r="B31" s="35">
        <v>45972</v>
      </c>
      <c r="C31" s="28" t="s">
        <v>161</v>
      </c>
      <c r="D31" s="28" t="s">
        <v>87</v>
      </c>
      <c r="E31" s="28" t="s">
        <v>118</v>
      </c>
      <c r="F31" s="28" t="s">
        <v>136</v>
      </c>
      <c r="G31" s="36">
        <v>2380</v>
      </c>
      <c r="H31" s="28" t="s">
        <v>77</v>
      </c>
      <c r="I31" s="36">
        <v>325.84</v>
      </c>
      <c r="J31" s="36">
        <v>0</v>
      </c>
      <c r="K31" s="37">
        <f>IF(tblWaste[[#This Row],[Date]]="","",IF(tblWaste[[#This Row],[Unit]]="kg",tblWaste[[#This Row],[Weight]],IF(tblWaste[[#This Row],[Unit]]="t",tblWaste[[#This Row],[Weight]]*1000,IF(tblWaste[[#This Row],[Unit]]="lb",tblWaste[[#This Row],[Weight]]*0.45359237,IF(tblWaste[[#This Row],[Unit]]="US ton",tblWaste[[#This Row],[Weight]]*907.18474,"")))))</f>
        <v>2380</v>
      </c>
      <c r="L31" s="38" t="str">
        <f>IF(tblWaste[[#This Row],[Date]]="","",IFERROR(INDEX(tblRoutes[Class],MATCH(tblWaste[[#This Row],[Route]],tblRoutes[Route],0)),""))</f>
        <v>Disposal</v>
      </c>
      <c r="M31" s="38" t="str">
        <f>IF(tblWaste[[#This Row],[Date]]="","",IFERROR(INDEX(tblStreams[Hazardous],MATCH(tblWaste[[#This Row],[Stream]],tblStreams[Stream],0)),""))</f>
        <v>No</v>
      </c>
      <c r="N31" s="37">
        <f>IF(tblWaste[[#This Row],[Date]]="","",IF(OR(tblWaste[[#This Row],[Weight (kg)]]="",tblWaste[[#This Row],[Class]]=""),"",IF(OR(tblWaste[[#This Row],[Class]]="Material recovery",AND(tblWaste[[#This Row],[Class]]="Energy recovery",CountER="Yes")),tblWaste[[#This Row],[Weight (kg)]],0)))</f>
        <v>0</v>
      </c>
      <c r="O31" s="30">
        <f>IF(tblWaste[[#This Row],[Date]]="","",N(tblWaste[[#This Row],[Charge]])-N(tblWaste[[#This Row],[Rebate]]))</f>
        <v>325.84</v>
      </c>
      <c r="P31" s="39">
        <f>IF(tblWaste[[#This Row],[Date]]="","",IF(AND(tblWaste[[#This Row],[Date]]&gt;=FFrom,tblWaste[[#This Row],[Date]]&lt;=FTo),tblWaste[[#This Row],[Date]],""))</f>
        <v>45972</v>
      </c>
      <c r="Q3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31" s="28" t="s">
        <v>86</v>
      </c>
    </row>
    <row r="32" spans="2:18">
      <c r="B32" s="35">
        <v>45972</v>
      </c>
      <c r="C32" s="28" t="s">
        <v>162</v>
      </c>
      <c r="D32" s="28" t="s">
        <v>100</v>
      </c>
      <c r="E32" s="28" t="s">
        <v>118</v>
      </c>
      <c r="F32" s="28" t="s">
        <v>136</v>
      </c>
      <c r="G32" s="36">
        <v>2380</v>
      </c>
      <c r="H32" s="28" t="s">
        <v>77</v>
      </c>
      <c r="I32" s="36">
        <v>325.84</v>
      </c>
      <c r="J32" s="36">
        <v>0</v>
      </c>
      <c r="K32" s="37">
        <f>IF(tblWaste[[#This Row],[Date]]="","",IF(tblWaste[[#This Row],[Unit]]="kg",tblWaste[[#This Row],[Weight]],IF(tblWaste[[#This Row],[Unit]]="t",tblWaste[[#This Row],[Weight]]*1000,IF(tblWaste[[#This Row],[Unit]]="lb",tblWaste[[#This Row],[Weight]]*0.45359237,IF(tblWaste[[#This Row],[Unit]]="US ton",tblWaste[[#This Row],[Weight]]*907.18474,"")))))</f>
        <v>2380</v>
      </c>
      <c r="L32" s="38" t="str">
        <f>IF(tblWaste[[#This Row],[Date]]="","",IFERROR(INDEX(tblRoutes[Class],MATCH(tblWaste[[#This Row],[Route]],tblRoutes[Route],0)),""))</f>
        <v>Disposal</v>
      </c>
      <c r="M32" s="38" t="str">
        <f>IF(tblWaste[[#This Row],[Date]]="","",IFERROR(INDEX(tblStreams[Hazardous],MATCH(tblWaste[[#This Row],[Stream]],tblStreams[Stream],0)),""))</f>
        <v>No</v>
      </c>
      <c r="N32" s="37">
        <f>IF(tblWaste[[#This Row],[Date]]="","",IF(OR(tblWaste[[#This Row],[Weight (kg)]]="",tblWaste[[#This Row],[Class]]=""),"",IF(OR(tblWaste[[#This Row],[Class]]="Material recovery",AND(tblWaste[[#This Row],[Class]]="Energy recovery",CountER="Yes")),tblWaste[[#This Row],[Weight (kg)]],0)))</f>
        <v>0</v>
      </c>
      <c r="O32" s="30">
        <f>IF(tblWaste[[#This Row],[Date]]="","",N(tblWaste[[#This Row],[Charge]])-N(tblWaste[[#This Row],[Rebate]]))</f>
        <v>325.84</v>
      </c>
      <c r="P32" s="39">
        <f>IF(tblWaste[[#This Row],[Date]]="","",IF(AND(tblWaste[[#This Row],[Date]]&gt;=FFrom,tblWaste[[#This Row],[Date]]&lt;=FTo),tblWaste[[#This Row],[Date]],""))</f>
        <v>45972</v>
      </c>
      <c r="Q3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32" s="28" t="s">
        <v>86</v>
      </c>
    </row>
    <row r="33" spans="2:18">
      <c r="B33" s="35">
        <v>45973</v>
      </c>
      <c r="C33" s="28" t="s">
        <v>163</v>
      </c>
      <c r="D33" s="28" t="s">
        <v>95</v>
      </c>
      <c r="E33" s="28" t="s">
        <v>111</v>
      </c>
      <c r="F33" s="28" t="s">
        <v>136</v>
      </c>
      <c r="G33" s="36">
        <v>260</v>
      </c>
      <c r="H33" s="28" t="s">
        <v>77</v>
      </c>
      <c r="I33" s="36">
        <v>69.7</v>
      </c>
      <c r="J33" s="36">
        <v>0</v>
      </c>
      <c r="K33" s="37">
        <f>IF(tblWaste[[#This Row],[Date]]="","",IF(tblWaste[[#This Row],[Unit]]="kg",tblWaste[[#This Row],[Weight]],IF(tblWaste[[#This Row],[Unit]]="t",tblWaste[[#This Row],[Weight]]*1000,IF(tblWaste[[#This Row],[Unit]]="lb",tblWaste[[#This Row],[Weight]]*0.45359237,IF(tblWaste[[#This Row],[Unit]]="US ton",tblWaste[[#This Row],[Weight]]*907.18474,"")))))</f>
        <v>260</v>
      </c>
      <c r="L33" s="38" t="str">
        <f>IF(tblWaste[[#This Row],[Date]]="","",IFERROR(INDEX(tblRoutes[Class],MATCH(tblWaste[[#This Row],[Route]],tblRoutes[Route],0)),""))</f>
        <v>Material recovery</v>
      </c>
      <c r="M33" s="38" t="str">
        <f>IF(tblWaste[[#This Row],[Date]]="","",IFERROR(INDEX(tblStreams[Hazardous],MATCH(tblWaste[[#This Row],[Stream]],tblStreams[Stream],0)),""))</f>
        <v>No</v>
      </c>
      <c r="N33" s="37">
        <f>IF(tblWaste[[#This Row],[Date]]="","",IF(OR(tblWaste[[#This Row],[Weight (kg)]]="",tblWaste[[#This Row],[Class]]=""),"",IF(OR(tblWaste[[#This Row],[Class]]="Material recovery",AND(tblWaste[[#This Row],[Class]]="Energy recovery",CountER="Yes")),tblWaste[[#This Row],[Weight (kg)]],0)))</f>
        <v>260</v>
      </c>
      <c r="O33" s="30">
        <f>IF(tblWaste[[#This Row],[Date]]="","",N(tblWaste[[#This Row],[Charge]])-N(tblWaste[[#This Row],[Rebate]]))</f>
        <v>69.7</v>
      </c>
      <c r="P33" s="39">
        <f>IF(tblWaste[[#This Row],[Date]]="","",IF(AND(tblWaste[[#This Row],[Date]]&gt;=FFrom,tblWaste[[#This Row],[Date]]&lt;=FTo),tblWaste[[#This Row],[Date]],""))</f>
        <v>45973</v>
      </c>
      <c r="Q3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33" s="28" t="s">
        <v>86</v>
      </c>
    </row>
    <row r="34" spans="2:18">
      <c r="B34" s="35">
        <v>45979</v>
      </c>
      <c r="C34" s="28" t="s">
        <v>164</v>
      </c>
      <c r="D34" s="28" t="s">
        <v>81</v>
      </c>
      <c r="E34" s="28" t="s">
        <v>109</v>
      </c>
      <c r="F34" s="28" t="s">
        <v>133</v>
      </c>
      <c r="G34" s="36">
        <v>5.31</v>
      </c>
      <c r="H34" s="28" t="s">
        <v>75</v>
      </c>
      <c r="I34" s="36">
        <v>0</v>
      </c>
      <c r="J34" s="36">
        <v>329.22</v>
      </c>
      <c r="K34" s="37">
        <f>IF(tblWaste[[#This Row],[Date]]="","",IF(tblWaste[[#This Row],[Unit]]="kg",tblWaste[[#This Row],[Weight]],IF(tblWaste[[#This Row],[Unit]]="t",tblWaste[[#This Row],[Weight]]*1000,IF(tblWaste[[#This Row],[Unit]]="lb",tblWaste[[#This Row],[Weight]]*0.45359237,IF(tblWaste[[#This Row],[Unit]]="US ton",tblWaste[[#This Row],[Weight]]*907.18474,"")))))</f>
        <v>5310</v>
      </c>
      <c r="L34" s="38" t="str">
        <f>IF(tblWaste[[#This Row],[Date]]="","",IFERROR(INDEX(tblRoutes[Class],MATCH(tblWaste[[#This Row],[Route]],tblRoutes[Route],0)),""))</f>
        <v>Material recovery</v>
      </c>
      <c r="M34" s="38" t="str">
        <f>IF(tblWaste[[#This Row],[Date]]="","",IFERROR(INDEX(tblStreams[Hazardous],MATCH(tblWaste[[#This Row],[Stream]],tblStreams[Stream],0)),""))</f>
        <v>No</v>
      </c>
      <c r="N34" s="37">
        <f>IF(tblWaste[[#This Row],[Date]]="","",IF(OR(tblWaste[[#This Row],[Weight (kg)]]="",tblWaste[[#This Row],[Class]]=""),"",IF(OR(tblWaste[[#This Row],[Class]]="Material recovery",AND(tblWaste[[#This Row],[Class]]="Energy recovery",CountER="Yes")),tblWaste[[#This Row],[Weight (kg)]],0)))</f>
        <v>5310</v>
      </c>
      <c r="O34" s="30">
        <f>IF(tblWaste[[#This Row],[Date]]="","",N(tblWaste[[#This Row],[Charge]])-N(tblWaste[[#This Row],[Rebate]]))</f>
        <v>-329.22</v>
      </c>
      <c r="P34" s="39">
        <f>IF(tblWaste[[#This Row],[Date]]="","",IF(AND(tblWaste[[#This Row],[Date]]&gt;=FFrom,tblWaste[[#This Row],[Date]]&lt;=FTo),tblWaste[[#This Row],[Date]],""))</f>
        <v>45979</v>
      </c>
      <c r="Q3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34" s="28" t="s">
        <v>86</v>
      </c>
    </row>
    <row r="35" spans="2:18">
      <c r="B35" s="35">
        <v>45979</v>
      </c>
      <c r="C35" s="28" t="s">
        <v>165</v>
      </c>
      <c r="D35" s="28" t="s">
        <v>100</v>
      </c>
      <c r="E35" s="28" t="s">
        <v>118</v>
      </c>
      <c r="F35" s="28" t="s">
        <v>136</v>
      </c>
      <c r="G35" s="36">
        <v>2530</v>
      </c>
      <c r="H35" s="28" t="s">
        <v>77</v>
      </c>
      <c r="I35" s="36">
        <v>343.54</v>
      </c>
      <c r="J35" s="36">
        <v>0</v>
      </c>
      <c r="K35" s="37">
        <f>IF(tblWaste[[#This Row],[Date]]="","",IF(tblWaste[[#This Row],[Unit]]="kg",tblWaste[[#This Row],[Weight]],IF(tblWaste[[#This Row],[Unit]]="t",tblWaste[[#This Row],[Weight]]*1000,IF(tblWaste[[#This Row],[Unit]]="lb",tblWaste[[#This Row],[Weight]]*0.45359237,IF(tblWaste[[#This Row],[Unit]]="US ton",tblWaste[[#This Row],[Weight]]*907.18474,"")))))</f>
        <v>2530</v>
      </c>
      <c r="L35" s="38" t="str">
        <f>IF(tblWaste[[#This Row],[Date]]="","",IFERROR(INDEX(tblRoutes[Class],MATCH(tblWaste[[#This Row],[Route]],tblRoutes[Route],0)),""))</f>
        <v>Disposal</v>
      </c>
      <c r="M35" s="38" t="str">
        <f>IF(tblWaste[[#This Row],[Date]]="","",IFERROR(INDEX(tblStreams[Hazardous],MATCH(tblWaste[[#This Row],[Stream]],tblStreams[Stream],0)),""))</f>
        <v>No</v>
      </c>
      <c r="N35" s="37">
        <f>IF(tblWaste[[#This Row],[Date]]="","",IF(OR(tblWaste[[#This Row],[Weight (kg)]]="",tblWaste[[#This Row],[Class]]=""),"",IF(OR(tblWaste[[#This Row],[Class]]="Material recovery",AND(tblWaste[[#This Row],[Class]]="Energy recovery",CountER="Yes")),tblWaste[[#This Row],[Weight (kg)]],0)))</f>
        <v>0</v>
      </c>
      <c r="O35" s="30">
        <f>IF(tblWaste[[#This Row],[Date]]="","",N(tblWaste[[#This Row],[Charge]])-N(tblWaste[[#This Row],[Rebate]]))</f>
        <v>343.54</v>
      </c>
      <c r="P35" s="39">
        <f>IF(tblWaste[[#This Row],[Date]]="","",IF(AND(tblWaste[[#This Row],[Date]]&gt;=FFrom,tblWaste[[#This Row],[Date]]&lt;=FTo),tblWaste[[#This Row],[Date]],""))</f>
        <v>45979</v>
      </c>
      <c r="Q3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35" s="28" t="s">
        <v>86</v>
      </c>
    </row>
    <row r="36" spans="2:18">
      <c r="B36" s="35">
        <v>45986</v>
      </c>
      <c r="C36" s="28" t="s">
        <v>166</v>
      </c>
      <c r="D36" s="28" t="s">
        <v>100</v>
      </c>
      <c r="E36" s="28" t="s">
        <v>118</v>
      </c>
      <c r="F36" s="28" t="s">
        <v>136</v>
      </c>
      <c r="G36" s="36">
        <v>2660</v>
      </c>
      <c r="H36" s="28" t="s">
        <v>77</v>
      </c>
      <c r="I36" s="36">
        <v>358.88</v>
      </c>
      <c r="J36" s="36">
        <v>0</v>
      </c>
      <c r="K36" s="37">
        <f>IF(tblWaste[[#This Row],[Date]]="","",IF(tblWaste[[#This Row],[Unit]]="kg",tblWaste[[#This Row],[Weight]],IF(tblWaste[[#This Row],[Unit]]="t",tblWaste[[#This Row],[Weight]]*1000,IF(tblWaste[[#This Row],[Unit]]="lb",tblWaste[[#This Row],[Weight]]*0.45359237,IF(tblWaste[[#This Row],[Unit]]="US ton",tblWaste[[#This Row],[Weight]]*907.18474,"")))))</f>
        <v>2660</v>
      </c>
      <c r="L36" s="38" t="str">
        <f>IF(tblWaste[[#This Row],[Date]]="","",IFERROR(INDEX(tblRoutes[Class],MATCH(tblWaste[[#This Row],[Route]],tblRoutes[Route],0)),""))</f>
        <v>Disposal</v>
      </c>
      <c r="M36" s="38" t="str">
        <f>IF(tblWaste[[#This Row],[Date]]="","",IFERROR(INDEX(tblStreams[Hazardous],MATCH(tblWaste[[#This Row],[Stream]],tblStreams[Stream],0)),""))</f>
        <v>No</v>
      </c>
      <c r="N36" s="37">
        <f>IF(tblWaste[[#This Row],[Date]]="","",IF(OR(tblWaste[[#This Row],[Weight (kg)]]="",tblWaste[[#This Row],[Class]]=""),"",IF(OR(tblWaste[[#This Row],[Class]]="Material recovery",AND(tblWaste[[#This Row],[Class]]="Energy recovery",CountER="Yes")),tblWaste[[#This Row],[Weight (kg)]],0)))</f>
        <v>0</v>
      </c>
      <c r="O36" s="30">
        <f>IF(tblWaste[[#This Row],[Date]]="","",N(tblWaste[[#This Row],[Charge]])-N(tblWaste[[#This Row],[Rebate]]))</f>
        <v>358.88</v>
      </c>
      <c r="P36" s="39">
        <f>IF(tblWaste[[#This Row],[Date]]="","",IF(AND(tblWaste[[#This Row],[Date]]&gt;=FFrom,tblWaste[[#This Row],[Date]]&lt;=FTo),tblWaste[[#This Row],[Date]],""))</f>
        <v>45986</v>
      </c>
      <c r="Q3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36" s="28" t="s">
        <v>86</v>
      </c>
    </row>
    <row r="37" spans="2:18">
      <c r="B37" s="35">
        <v>45987</v>
      </c>
      <c r="C37" s="28" t="s">
        <v>167</v>
      </c>
      <c r="D37" s="28" t="s">
        <v>81</v>
      </c>
      <c r="E37" s="28" t="s">
        <v>109</v>
      </c>
      <c r="F37" s="28" t="s">
        <v>133</v>
      </c>
      <c r="G37" s="36">
        <v>5.12</v>
      </c>
      <c r="H37" s="28" t="s">
        <v>75</v>
      </c>
      <c r="I37" s="36">
        <v>0</v>
      </c>
      <c r="J37" s="36">
        <v>317.44</v>
      </c>
      <c r="K37" s="37">
        <f>IF(tblWaste[[#This Row],[Date]]="","",IF(tblWaste[[#This Row],[Unit]]="kg",tblWaste[[#This Row],[Weight]],IF(tblWaste[[#This Row],[Unit]]="t",tblWaste[[#This Row],[Weight]]*1000,IF(tblWaste[[#This Row],[Unit]]="lb",tblWaste[[#This Row],[Weight]]*0.45359237,IF(tblWaste[[#This Row],[Unit]]="US ton",tblWaste[[#This Row],[Weight]]*907.18474,"")))))</f>
        <v>5120</v>
      </c>
      <c r="L37" s="38" t="str">
        <f>IF(tblWaste[[#This Row],[Date]]="","",IFERROR(INDEX(tblRoutes[Class],MATCH(tblWaste[[#This Row],[Route]],tblRoutes[Route],0)),""))</f>
        <v>Material recovery</v>
      </c>
      <c r="M37" s="38" t="str">
        <f>IF(tblWaste[[#This Row],[Date]]="","",IFERROR(INDEX(tblStreams[Hazardous],MATCH(tblWaste[[#This Row],[Stream]],tblStreams[Stream],0)),""))</f>
        <v>No</v>
      </c>
      <c r="N37" s="37">
        <f>IF(tblWaste[[#This Row],[Date]]="","",IF(OR(tblWaste[[#This Row],[Weight (kg)]]="",tblWaste[[#This Row],[Class]]=""),"",IF(OR(tblWaste[[#This Row],[Class]]="Material recovery",AND(tblWaste[[#This Row],[Class]]="Energy recovery",CountER="Yes")),tblWaste[[#This Row],[Weight (kg)]],0)))</f>
        <v>5120</v>
      </c>
      <c r="O37" s="30">
        <f>IF(tblWaste[[#This Row],[Date]]="","",N(tblWaste[[#This Row],[Charge]])-N(tblWaste[[#This Row],[Rebate]]))</f>
        <v>-317.44</v>
      </c>
      <c r="P37" s="39">
        <f>IF(tblWaste[[#This Row],[Date]]="","",IF(AND(tblWaste[[#This Row],[Date]]&gt;=FFrom,tblWaste[[#This Row],[Date]]&lt;=FTo),tblWaste[[#This Row],[Date]],""))</f>
        <v>45987</v>
      </c>
      <c r="Q3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37" s="28" t="s">
        <v>86</v>
      </c>
    </row>
    <row r="38" spans="2:18">
      <c r="B38" s="35">
        <v>45995</v>
      </c>
      <c r="C38" s="28" t="s">
        <v>168</v>
      </c>
      <c r="D38" s="28" t="s">
        <v>85</v>
      </c>
      <c r="E38" s="28" t="s">
        <v>109</v>
      </c>
      <c r="F38" s="28" t="s">
        <v>133</v>
      </c>
      <c r="G38" s="36">
        <v>880</v>
      </c>
      <c r="H38" s="28" t="s">
        <v>77</v>
      </c>
      <c r="I38" s="36">
        <v>0</v>
      </c>
      <c r="J38" s="36">
        <v>17.6</v>
      </c>
      <c r="K38" s="37">
        <f>IF(tblWaste[[#This Row],[Date]]="","",IF(tblWaste[[#This Row],[Unit]]="kg",tblWaste[[#This Row],[Weight]],IF(tblWaste[[#This Row],[Unit]]="t",tblWaste[[#This Row],[Weight]]*1000,IF(tblWaste[[#This Row],[Unit]]="lb",tblWaste[[#This Row],[Weight]]*0.45359237,IF(tblWaste[[#This Row],[Unit]]="US ton",tblWaste[[#This Row],[Weight]]*907.18474,"")))))</f>
        <v>880</v>
      </c>
      <c r="L38" s="38" t="str">
        <f>IF(tblWaste[[#This Row],[Date]]="","",IFERROR(INDEX(tblRoutes[Class],MATCH(tblWaste[[#This Row],[Route]],tblRoutes[Route],0)),""))</f>
        <v>Material recovery</v>
      </c>
      <c r="M38" s="38" t="str">
        <f>IF(tblWaste[[#This Row],[Date]]="","",IFERROR(INDEX(tblStreams[Hazardous],MATCH(tblWaste[[#This Row],[Stream]],tblStreams[Stream],0)),""))</f>
        <v>No</v>
      </c>
      <c r="N38" s="37">
        <f>IF(tblWaste[[#This Row],[Date]]="","",IF(OR(tblWaste[[#This Row],[Weight (kg)]]="",tblWaste[[#This Row],[Class]]=""),"",IF(OR(tblWaste[[#This Row],[Class]]="Material recovery",AND(tblWaste[[#This Row],[Class]]="Energy recovery",CountER="Yes")),tblWaste[[#This Row],[Weight (kg)]],0)))</f>
        <v>880</v>
      </c>
      <c r="O38" s="30">
        <f>IF(tblWaste[[#This Row],[Date]]="","",N(tblWaste[[#This Row],[Charge]])-N(tblWaste[[#This Row],[Rebate]]))</f>
        <v>-17.6</v>
      </c>
      <c r="P38" s="39">
        <f>IF(tblWaste[[#This Row],[Date]]="","",IF(AND(tblWaste[[#This Row],[Date]]&gt;=FFrom,tblWaste[[#This Row],[Date]]&lt;=FTo),tblWaste[[#This Row],[Date]],""))</f>
        <v>45995</v>
      </c>
      <c r="Q3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38" s="28" t="s">
        <v>86</v>
      </c>
    </row>
    <row r="39" spans="2:18">
      <c r="B39" s="35">
        <v>45995</v>
      </c>
      <c r="C39" s="28" t="s">
        <v>169</v>
      </c>
      <c r="D39" s="28" t="s">
        <v>90</v>
      </c>
      <c r="E39" s="28" t="s">
        <v>106</v>
      </c>
      <c r="F39" s="28" t="s">
        <v>138</v>
      </c>
      <c r="G39" s="36">
        <v>1900</v>
      </c>
      <c r="H39" s="28" t="s">
        <v>77</v>
      </c>
      <c r="I39" s="36">
        <v>111.5</v>
      </c>
      <c r="J39" s="36">
        <v>0</v>
      </c>
      <c r="K39" s="37">
        <f>IF(tblWaste[[#This Row],[Date]]="","",IF(tblWaste[[#This Row],[Unit]]="kg",tblWaste[[#This Row],[Weight]],IF(tblWaste[[#This Row],[Unit]]="t",tblWaste[[#This Row],[Weight]]*1000,IF(tblWaste[[#This Row],[Unit]]="lb",tblWaste[[#This Row],[Weight]]*0.45359237,IF(tblWaste[[#This Row],[Unit]]="US ton",tblWaste[[#This Row],[Weight]]*907.18474,"")))))</f>
        <v>1900</v>
      </c>
      <c r="L39" s="38" t="str">
        <f>IF(tblWaste[[#This Row],[Date]]="","",IFERROR(INDEX(tblRoutes[Class],MATCH(tblWaste[[#This Row],[Route]],tblRoutes[Route],0)),""))</f>
        <v>Material recovery</v>
      </c>
      <c r="M39" s="38" t="str">
        <f>IF(tblWaste[[#This Row],[Date]]="","",IFERROR(INDEX(tblStreams[Hazardous],MATCH(tblWaste[[#This Row],[Stream]],tblStreams[Stream],0)),""))</f>
        <v>No</v>
      </c>
      <c r="N39" s="37">
        <f>IF(tblWaste[[#This Row],[Date]]="","",IF(OR(tblWaste[[#This Row],[Weight (kg)]]="",tblWaste[[#This Row],[Class]]=""),"",IF(OR(tblWaste[[#This Row],[Class]]="Material recovery",AND(tblWaste[[#This Row],[Class]]="Energy recovery",CountER="Yes")),tblWaste[[#This Row],[Weight (kg)]],0)))</f>
        <v>1900</v>
      </c>
      <c r="O39" s="30">
        <f>IF(tblWaste[[#This Row],[Date]]="","",N(tblWaste[[#This Row],[Charge]])-N(tblWaste[[#This Row],[Rebate]]))</f>
        <v>111.5</v>
      </c>
      <c r="P39" s="39">
        <f>IF(tblWaste[[#This Row],[Date]]="","",IF(AND(tblWaste[[#This Row],[Date]]&gt;=FFrom,tblWaste[[#This Row],[Date]]&lt;=FTo),tblWaste[[#This Row],[Date]],""))</f>
        <v>45995</v>
      </c>
      <c r="Q3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39" s="28" t="s">
        <v>86</v>
      </c>
    </row>
    <row r="40" spans="2:18">
      <c r="B40" s="35">
        <v>45995</v>
      </c>
      <c r="C40" s="28" t="s">
        <v>170</v>
      </c>
      <c r="D40" s="28" t="s">
        <v>93</v>
      </c>
      <c r="E40" s="28" t="s">
        <v>109</v>
      </c>
      <c r="F40" s="28" t="s">
        <v>140</v>
      </c>
      <c r="G40" s="36">
        <v>1000</v>
      </c>
      <c r="H40" s="28" t="s">
        <v>77</v>
      </c>
      <c r="I40" s="36">
        <v>0</v>
      </c>
      <c r="J40" s="36">
        <v>145</v>
      </c>
      <c r="K40" s="37">
        <f>IF(tblWaste[[#This Row],[Date]]="","",IF(tblWaste[[#This Row],[Unit]]="kg",tblWaste[[#This Row],[Weight]],IF(tblWaste[[#This Row],[Unit]]="t",tblWaste[[#This Row],[Weight]]*1000,IF(tblWaste[[#This Row],[Unit]]="lb",tblWaste[[#This Row],[Weight]]*0.45359237,IF(tblWaste[[#This Row],[Unit]]="US ton",tblWaste[[#This Row],[Weight]]*907.18474,"")))))</f>
        <v>1000</v>
      </c>
      <c r="L40" s="38" t="str">
        <f>IF(tblWaste[[#This Row],[Date]]="","",IFERROR(INDEX(tblRoutes[Class],MATCH(tblWaste[[#This Row],[Route]],tblRoutes[Route],0)),""))</f>
        <v>Material recovery</v>
      </c>
      <c r="M40" s="38" t="str">
        <f>IF(tblWaste[[#This Row],[Date]]="","",IFERROR(INDEX(tblStreams[Hazardous],MATCH(tblWaste[[#This Row],[Stream]],tblStreams[Stream],0)),""))</f>
        <v>No</v>
      </c>
      <c r="N40" s="37">
        <f>IF(tblWaste[[#This Row],[Date]]="","",IF(OR(tblWaste[[#This Row],[Weight (kg)]]="",tblWaste[[#This Row],[Class]]=""),"",IF(OR(tblWaste[[#This Row],[Class]]="Material recovery",AND(tblWaste[[#This Row],[Class]]="Energy recovery",CountER="Yes")),tblWaste[[#This Row],[Weight (kg)]],0)))</f>
        <v>1000</v>
      </c>
      <c r="O40" s="30">
        <f>IF(tblWaste[[#This Row],[Date]]="","",N(tblWaste[[#This Row],[Charge]])-N(tblWaste[[#This Row],[Rebate]]))</f>
        <v>-145</v>
      </c>
      <c r="P40" s="39">
        <f>IF(tblWaste[[#This Row],[Date]]="","",IF(AND(tblWaste[[#This Row],[Date]]&gt;=FFrom,tblWaste[[#This Row],[Date]]&lt;=FTo),tblWaste[[#This Row],[Date]],""))</f>
        <v>45995</v>
      </c>
      <c r="Q4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40" s="28" t="s">
        <v>86</v>
      </c>
    </row>
    <row r="41" spans="2:18">
      <c r="B41" s="35">
        <v>45996</v>
      </c>
      <c r="C41" s="28" t="s">
        <v>171</v>
      </c>
      <c r="D41" s="28" t="s">
        <v>87</v>
      </c>
      <c r="E41" s="28" t="s">
        <v>118</v>
      </c>
      <c r="F41" s="28" t="s">
        <v>136</v>
      </c>
      <c r="G41" s="36">
        <v>2830</v>
      </c>
      <c r="H41" s="28" t="s">
        <v>77</v>
      </c>
      <c r="I41" s="36">
        <v>378.94</v>
      </c>
      <c r="J41" s="36">
        <v>0</v>
      </c>
      <c r="K41" s="37">
        <f>IF(tblWaste[[#This Row],[Date]]="","",IF(tblWaste[[#This Row],[Unit]]="kg",tblWaste[[#This Row],[Weight]],IF(tblWaste[[#This Row],[Unit]]="t",tblWaste[[#This Row],[Weight]]*1000,IF(tblWaste[[#This Row],[Unit]]="lb",tblWaste[[#This Row],[Weight]]*0.45359237,IF(tblWaste[[#This Row],[Unit]]="US ton",tblWaste[[#This Row],[Weight]]*907.18474,"")))))</f>
        <v>2830</v>
      </c>
      <c r="L41" s="38" t="str">
        <f>IF(tblWaste[[#This Row],[Date]]="","",IFERROR(INDEX(tblRoutes[Class],MATCH(tblWaste[[#This Row],[Route]],tblRoutes[Route],0)),""))</f>
        <v>Disposal</v>
      </c>
      <c r="M41" s="38" t="str">
        <f>IF(tblWaste[[#This Row],[Date]]="","",IFERROR(INDEX(tblStreams[Hazardous],MATCH(tblWaste[[#This Row],[Stream]],tblStreams[Stream],0)),""))</f>
        <v>No</v>
      </c>
      <c r="N41" s="37">
        <f>IF(tblWaste[[#This Row],[Date]]="","",IF(OR(tblWaste[[#This Row],[Weight (kg)]]="",tblWaste[[#This Row],[Class]]=""),"",IF(OR(tblWaste[[#This Row],[Class]]="Material recovery",AND(tblWaste[[#This Row],[Class]]="Energy recovery",CountER="Yes")),tblWaste[[#This Row],[Weight (kg)]],0)))</f>
        <v>0</v>
      </c>
      <c r="O41" s="30">
        <f>IF(tblWaste[[#This Row],[Date]]="","",N(tblWaste[[#This Row],[Charge]])-N(tblWaste[[#This Row],[Rebate]]))</f>
        <v>378.94</v>
      </c>
      <c r="P41" s="39">
        <f>IF(tblWaste[[#This Row],[Date]]="","",IF(AND(tblWaste[[#This Row],[Date]]&gt;=FFrom,tblWaste[[#This Row],[Date]]&lt;=FTo),tblWaste[[#This Row],[Date]],""))</f>
        <v>45996</v>
      </c>
      <c r="Q4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41" s="28" t="s">
        <v>86</v>
      </c>
    </row>
    <row r="42" spans="2:18">
      <c r="B42" s="35">
        <v>45996</v>
      </c>
      <c r="C42" s="28" t="s">
        <v>172</v>
      </c>
      <c r="D42" s="28" t="s">
        <v>95</v>
      </c>
      <c r="E42" s="28" t="s">
        <v>111</v>
      </c>
      <c r="F42" s="28" t="s">
        <v>136</v>
      </c>
      <c r="G42" s="36">
        <v>280</v>
      </c>
      <c r="H42" s="28" t="s">
        <v>77</v>
      </c>
      <c r="I42" s="36">
        <v>71.59999999999999</v>
      </c>
      <c r="J42" s="36">
        <v>0</v>
      </c>
      <c r="K42" s="37">
        <f>IF(tblWaste[[#This Row],[Date]]="","",IF(tblWaste[[#This Row],[Unit]]="kg",tblWaste[[#This Row],[Weight]],IF(tblWaste[[#This Row],[Unit]]="t",tblWaste[[#This Row],[Weight]]*1000,IF(tblWaste[[#This Row],[Unit]]="lb",tblWaste[[#This Row],[Weight]]*0.45359237,IF(tblWaste[[#This Row],[Unit]]="US ton",tblWaste[[#This Row],[Weight]]*907.18474,"")))))</f>
        <v>280</v>
      </c>
      <c r="L42" s="38" t="str">
        <f>IF(tblWaste[[#This Row],[Date]]="","",IFERROR(INDEX(tblRoutes[Class],MATCH(tblWaste[[#This Row],[Route]],tblRoutes[Route],0)),""))</f>
        <v>Material recovery</v>
      </c>
      <c r="M42" s="38" t="str">
        <f>IF(tblWaste[[#This Row],[Date]]="","",IFERROR(INDEX(tblStreams[Hazardous],MATCH(tblWaste[[#This Row],[Stream]],tblStreams[Stream],0)),""))</f>
        <v>No</v>
      </c>
      <c r="N42" s="37">
        <f>IF(tblWaste[[#This Row],[Date]]="","",IF(OR(tblWaste[[#This Row],[Weight (kg)]]="",tblWaste[[#This Row],[Class]]=""),"",IF(OR(tblWaste[[#This Row],[Class]]="Material recovery",AND(tblWaste[[#This Row],[Class]]="Energy recovery",CountER="Yes")),tblWaste[[#This Row],[Weight (kg)]],0)))</f>
        <v>280</v>
      </c>
      <c r="O42" s="30">
        <f>IF(tblWaste[[#This Row],[Date]]="","",N(tblWaste[[#This Row],[Charge]])-N(tblWaste[[#This Row],[Rebate]]))</f>
        <v>71.6</v>
      </c>
      <c r="P42" s="39">
        <f>IF(tblWaste[[#This Row],[Date]]="","",IF(AND(tblWaste[[#This Row],[Date]]&gt;=FFrom,tblWaste[[#This Row],[Date]]&lt;=FTo),tblWaste[[#This Row],[Date]],""))</f>
        <v>45996</v>
      </c>
      <c r="Q4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42" s="28" t="s">
        <v>86</v>
      </c>
    </row>
    <row r="43" spans="2:18">
      <c r="B43" s="35">
        <v>45997</v>
      </c>
      <c r="C43" s="28" t="s">
        <v>173</v>
      </c>
      <c r="D43" s="28" t="s">
        <v>81</v>
      </c>
      <c r="E43" s="28" t="s">
        <v>109</v>
      </c>
      <c r="F43" s="28" t="s">
        <v>133</v>
      </c>
      <c r="G43" s="36">
        <v>5.85</v>
      </c>
      <c r="H43" s="28" t="s">
        <v>75</v>
      </c>
      <c r="I43" s="36">
        <v>0</v>
      </c>
      <c r="J43" s="36">
        <v>362.7</v>
      </c>
      <c r="K43" s="37">
        <f>IF(tblWaste[[#This Row],[Date]]="","",IF(tblWaste[[#This Row],[Unit]]="kg",tblWaste[[#This Row],[Weight]],IF(tblWaste[[#This Row],[Unit]]="t",tblWaste[[#This Row],[Weight]]*1000,IF(tblWaste[[#This Row],[Unit]]="lb",tblWaste[[#This Row],[Weight]]*0.45359237,IF(tblWaste[[#This Row],[Unit]]="US ton",tblWaste[[#This Row],[Weight]]*907.18474,"")))))</f>
        <v>5850</v>
      </c>
      <c r="L43" s="38" t="str">
        <f>IF(tblWaste[[#This Row],[Date]]="","",IFERROR(INDEX(tblRoutes[Class],MATCH(tblWaste[[#This Row],[Route]],tblRoutes[Route],0)),""))</f>
        <v>Material recovery</v>
      </c>
      <c r="M43" s="38" t="str">
        <f>IF(tblWaste[[#This Row],[Date]]="","",IFERROR(INDEX(tblStreams[Hazardous],MATCH(tblWaste[[#This Row],[Stream]],tblStreams[Stream],0)),""))</f>
        <v>No</v>
      </c>
      <c r="N43" s="37">
        <f>IF(tblWaste[[#This Row],[Date]]="","",IF(OR(tblWaste[[#This Row],[Weight (kg)]]="",tblWaste[[#This Row],[Class]]=""),"",IF(OR(tblWaste[[#This Row],[Class]]="Material recovery",AND(tblWaste[[#This Row],[Class]]="Energy recovery",CountER="Yes")),tblWaste[[#This Row],[Weight (kg)]],0)))</f>
        <v>5850</v>
      </c>
      <c r="O43" s="30">
        <f>IF(tblWaste[[#This Row],[Date]]="","",N(tblWaste[[#This Row],[Charge]])-N(tblWaste[[#This Row],[Rebate]]))</f>
        <v>-362.7</v>
      </c>
      <c r="P43" s="39">
        <f>IF(tblWaste[[#This Row],[Date]]="","",IF(AND(tblWaste[[#This Row],[Date]]&gt;=FFrom,tblWaste[[#This Row],[Date]]&lt;=FTo),tblWaste[[#This Row],[Date]],""))</f>
        <v>45997</v>
      </c>
      <c r="Q4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43" s="28" t="s">
        <v>86</v>
      </c>
    </row>
    <row r="44" spans="2:18">
      <c r="B44" s="35">
        <v>45997</v>
      </c>
      <c r="C44" s="28" t="s">
        <v>174</v>
      </c>
      <c r="D44" s="28" t="s">
        <v>100</v>
      </c>
      <c r="E44" s="28" t="s">
        <v>118</v>
      </c>
      <c r="F44" s="28" t="s">
        <v>136</v>
      </c>
      <c r="G44" s="36">
        <v>2250</v>
      </c>
      <c r="H44" s="28" t="s">
        <v>77</v>
      </c>
      <c r="I44" s="36">
        <v>310.5</v>
      </c>
      <c r="J44" s="36">
        <v>0</v>
      </c>
      <c r="K44" s="37">
        <f>IF(tblWaste[[#This Row],[Date]]="","",IF(tblWaste[[#This Row],[Unit]]="kg",tblWaste[[#This Row],[Weight]],IF(tblWaste[[#This Row],[Unit]]="t",tblWaste[[#This Row],[Weight]]*1000,IF(tblWaste[[#This Row],[Unit]]="lb",tblWaste[[#This Row],[Weight]]*0.45359237,IF(tblWaste[[#This Row],[Unit]]="US ton",tblWaste[[#This Row],[Weight]]*907.18474,"")))))</f>
        <v>2250</v>
      </c>
      <c r="L44" s="38" t="str">
        <f>IF(tblWaste[[#This Row],[Date]]="","",IFERROR(INDEX(tblRoutes[Class],MATCH(tblWaste[[#This Row],[Route]],tblRoutes[Route],0)),""))</f>
        <v>Disposal</v>
      </c>
      <c r="M44" s="38" t="str">
        <f>IF(tblWaste[[#This Row],[Date]]="","",IFERROR(INDEX(tblStreams[Hazardous],MATCH(tblWaste[[#This Row],[Stream]],tblStreams[Stream],0)),""))</f>
        <v>No</v>
      </c>
      <c r="N44" s="37">
        <f>IF(tblWaste[[#This Row],[Date]]="","",IF(OR(tblWaste[[#This Row],[Weight (kg)]]="",tblWaste[[#This Row],[Class]]=""),"",IF(OR(tblWaste[[#This Row],[Class]]="Material recovery",AND(tblWaste[[#This Row],[Class]]="Energy recovery",CountER="Yes")),tblWaste[[#This Row],[Weight (kg)]],0)))</f>
        <v>0</v>
      </c>
      <c r="O44" s="30">
        <f>IF(tblWaste[[#This Row],[Date]]="","",N(tblWaste[[#This Row],[Charge]])-N(tblWaste[[#This Row],[Rebate]]))</f>
        <v>310.5</v>
      </c>
      <c r="P44" s="39">
        <f>IF(tblWaste[[#This Row],[Date]]="","",IF(AND(tblWaste[[#This Row],[Date]]&gt;=FFrom,tblWaste[[#This Row],[Date]]&lt;=FTo),tblWaste[[#This Row],[Date]],""))</f>
        <v>45997</v>
      </c>
      <c r="Q4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44" s="28" t="s">
        <v>86</v>
      </c>
    </row>
    <row r="45" spans="2:18">
      <c r="B45" s="35">
        <v>46003</v>
      </c>
      <c r="C45" s="28" t="s">
        <v>175</v>
      </c>
      <c r="D45" s="28" t="s">
        <v>81</v>
      </c>
      <c r="E45" s="28" t="s">
        <v>109</v>
      </c>
      <c r="F45" s="28" t="s">
        <v>133</v>
      </c>
      <c r="G45" s="36">
        <v>5.92</v>
      </c>
      <c r="H45" s="28" t="s">
        <v>75</v>
      </c>
      <c r="I45" s="36">
        <v>0</v>
      </c>
      <c r="J45" s="36">
        <v>367.04</v>
      </c>
      <c r="K45" s="37">
        <f>IF(tblWaste[[#This Row],[Date]]="","",IF(tblWaste[[#This Row],[Unit]]="kg",tblWaste[[#This Row],[Weight]],IF(tblWaste[[#This Row],[Unit]]="t",tblWaste[[#This Row],[Weight]]*1000,IF(tblWaste[[#This Row],[Unit]]="lb",tblWaste[[#This Row],[Weight]]*0.45359237,IF(tblWaste[[#This Row],[Unit]]="US ton",tblWaste[[#This Row],[Weight]]*907.18474,"")))))</f>
        <v>5920</v>
      </c>
      <c r="L45" s="38" t="str">
        <f>IF(tblWaste[[#This Row],[Date]]="","",IFERROR(INDEX(tblRoutes[Class],MATCH(tblWaste[[#This Row],[Route]],tblRoutes[Route],0)),""))</f>
        <v>Material recovery</v>
      </c>
      <c r="M45" s="38" t="str">
        <f>IF(tblWaste[[#This Row],[Date]]="","",IFERROR(INDEX(tblStreams[Hazardous],MATCH(tblWaste[[#This Row],[Stream]],tblStreams[Stream],0)),""))</f>
        <v>No</v>
      </c>
      <c r="N45" s="37">
        <f>IF(tblWaste[[#This Row],[Date]]="","",IF(OR(tblWaste[[#This Row],[Weight (kg)]]="",tblWaste[[#This Row],[Class]]=""),"",IF(OR(tblWaste[[#This Row],[Class]]="Material recovery",AND(tblWaste[[#This Row],[Class]]="Energy recovery",CountER="Yes")),tblWaste[[#This Row],[Weight (kg)]],0)))</f>
        <v>5920</v>
      </c>
      <c r="O45" s="30">
        <f>IF(tblWaste[[#This Row],[Date]]="","",N(tblWaste[[#This Row],[Charge]])-N(tblWaste[[#This Row],[Rebate]]))</f>
        <v>-367.04</v>
      </c>
      <c r="P45" s="39">
        <f>IF(tblWaste[[#This Row],[Date]]="","",IF(AND(tblWaste[[#This Row],[Date]]&gt;=FFrom,tblWaste[[#This Row],[Date]]&lt;=FTo),tblWaste[[#This Row],[Date]],""))</f>
        <v>46003</v>
      </c>
      <c r="Q4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45" s="28" t="s">
        <v>86</v>
      </c>
    </row>
    <row r="46" spans="2:18">
      <c r="B46" s="35">
        <v>46003</v>
      </c>
      <c r="C46" s="28" t="s">
        <v>176</v>
      </c>
      <c r="D46" s="28" t="s">
        <v>100</v>
      </c>
      <c r="E46" s="28" t="s">
        <v>118</v>
      </c>
      <c r="F46" s="28" t="s">
        <v>136</v>
      </c>
      <c r="G46" s="36">
        <v>2180</v>
      </c>
      <c r="H46" s="28" t="s">
        <v>77</v>
      </c>
      <c r="I46" s="36">
        <v>302.24</v>
      </c>
      <c r="J46" s="36">
        <v>0</v>
      </c>
      <c r="K46" s="37">
        <f>IF(tblWaste[[#This Row],[Date]]="","",IF(tblWaste[[#This Row],[Unit]]="kg",tblWaste[[#This Row],[Weight]],IF(tblWaste[[#This Row],[Unit]]="t",tblWaste[[#This Row],[Weight]]*1000,IF(tblWaste[[#This Row],[Unit]]="lb",tblWaste[[#This Row],[Weight]]*0.45359237,IF(tblWaste[[#This Row],[Unit]]="US ton",tblWaste[[#This Row],[Weight]]*907.18474,"")))))</f>
        <v>2180</v>
      </c>
      <c r="L46" s="38" t="str">
        <f>IF(tblWaste[[#This Row],[Date]]="","",IFERROR(INDEX(tblRoutes[Class],MATCH(tblWaste[[#This Row],[Route]],tblRoutes[Route],0)),""))</f>
        <v>Disposal</v>
      </c>
      <c r="M46" s="38" t="str">
        <f>IF(tblWaste[[#This Row],[Date]]="","",IFERROR(INDEX(tblStreams[Hazardous],MATCH(tblWaste[[#This Row],[Stream]],tblStreams[Stream],0)),""))</f>
        <v>No</v>
      </c>
      <c r="N46" s="37">
        <f>IF(tblWaste[[#This Row],[Date]]="","",IF(OR(tblWaste[[#This Row],[Weight (kg)]]="",tblWaste[[#This Row],[Class]]=""),"",IF(OR(tblWaste[[#This Row],[Class]]="Material recovery",AND(tblWaste[[#This Row],[Class]]="Energy recovery",CountER="Yes")),tblWaste[[#This Row],[Weight (kg)]],0)))</f>
        <v>0</v>
      </c>
      <c r="O46" s="30">
        <f>IF(tblWaste[[#This Row],[Date]]="","",N(tblWaste[[#This Row],[Charge]])-N(tblWaste[[#This Row],[Rebate]]))</f>
        <v>302.24</v>
      </c>
      <c r="P46" s="39">
        <f>IF(tblWaste[[#This Row],[Date]]="","",IF(AND(tblWaste[[#This Row],[Date]]&gt;=FFrom,tblWaste[[#This Row],[Date]]&lt;=FTo),tblWaste[[#This Row],[Date]],""))</f>
        <v>46003</v>
      </c>
      <c r="Q4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46" s="28" t="s">
        <v>86</v>
      </c>
    </row>
    <row r="47" spans="2:18">
      <c r="B47" s="35">
        <v>46004</v>
      </c>
      <c r="C47" s="28" t="s">
        <v>177</v>
      </c>
      <c r="D47" s="28" t="s">
        <v>87</v>
      </c>
      <c r="E47" s="28" t="s">
        <v>118</v>
      </c>
      <c r="F47" s="28" t="s">
        <v>136</v>
      </c>
      <c r="G47" s="36">
        <v>2790</v>
      </c>
      <c r="H47" s="28" t="s">
        <v>77</v>
      </c>
      <c r="I47" s="36">
        <v>374.22</v>
      </c>
      <c r="J47" s="36">
        <v>0</v>
      </c>
      <c r="K47" s="37">
        <f>IF(tblWaste[[#This Row],[Date]]="","",IF(tblWaste[[#This Row],[Unit]]="kg",tblWaste[[#This Row],[Weight]],IF(tblWaste[[#This Row],[Unit]]="t",tblWaste[[#This Row],[Weight]]*1000,IF(tblWaste[[#This Row],[Unit]]="lb",tblWaste[[#This Row],[Weight]]*0.45359237,IF(tblWaste[[#This Row],[Unit]]="US ton",tblWaste[[#This Row],[Weight]]*907.18474,"")))))</f>
        <v>2790</v>
      </c>
      <c r="L47" s="38" t="str">
        <f>IF(tblWaste[[#This Row],[Date]]="","",IFERROR(INDEX(tblRoutes[Class],MATCH(tblWaste[[#This Row],[Route]],tblRoutes[Route],0)),""))</f>
        <v>Disposal</v>
      </c>
      <c r="M47" s="38" t="str">
        <f>IF(tblWaste[[#This Row],[Date]]="","",IFERROR(INDEX(tblStreams[Hazardous],MATCH(tblWaste[[#This Row],[Stream]],tblStreams[Stream],0)),""))</f>
        <v>No</v>
      </c>
      <c r="N47" s="37">
        <f>IF(tblWaste[[#This Row],[Date]]="","",IF(OR(tblWaste[[#This Row],[Weight (kg)]]="",tblWaste[[#This Row],[Class]]=""),"",IF(OR(tblWaste[[#This Row],[Class]]="Material recovery",AND(tblWaste[[#This Row],[Class]]="Energy recovery",CountER="Yes")),tblWaste[[#This Row],[Weight (kg)]],0)))</f>
        <v>0</v>
      </c>
      <c r="O47" s="30">
        <f>IF(tblWaste[[#This Row],[Date]]="","",N(tblWaste[[#This Row],[Charge]])-N(tblWaste[[#This Row],[Rebate]]))</f>
        <v>374.22</v>
      </c>
      <c r="P47" s="39">
        <f>IF(tblWaste[[#This Row],[Date]]="","",IF(AND(tblWaste[[#This Row],[Date]]&gt;=FFrom,tblWaste[[#This Row],[Date]]&lt;=FTo),tblWaste[[#This Row],[Date]],""))</f>
        <v>46004</v>
      </c>
      <c r="Q4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47" s="28" t="s">
        <v>86</v>
      </c>
    </row>
    <row r="48" spans="2:18">
      <c r="B48" s="35">
        <v>46004</v>
      </c>
      <c r="C48" s="28" t="s">
        <v>178</v>
      </c>
      <c r="D48" s="28" t="s">
        <v>95</v>
      </c>
      <c r="E48" s="28" t="s">
        <v>111</v>
      </c>
      <c r="F48" s="28" t="s">
        <v>136</v>
      </c>
      <c r="G48" s="36">
        <v>260</v>
      </c>
      <c r="H48" s="28" t="s">
        <v>77</v>
      </c>
      <c r="I48" s="36">
        <v>69.7</v>
      </c>
      <c r="J48" s="36">
        <v>0</v>
      </c>
      <c r="K48" s="37">
        <f>IF(tblWaste[[#This Row],[Date]]="","",IF(tblWaste[[#This Row],[Unit]]="kg",tblWaste[[#This Row],[Weight]],IF(tblWaste[[#This Row],[Unit]]="t",tblWaste[[#This Row],[Weight]]*1000,IF(tblWaste[[#This Row],[Unit]]="lb",tblWaste[[#This Row],[Weight]]*0.45359237,IF(tblWaste[[#This Row],[Unit]]="US ton",tblWaste[[#This Row],[Weight]]*907.18474,"")))))</f>
        <v>260</v>
      </c>
      <c r="L48" s="38" t="str">
        <f>IF(tblWaste[[#This Row],[Date]]="","",IFERROR(INDEX(tblRoutes[Class],MATCH(tblWaste[[#This Row],[Route]],tblRoutes[Route],0)),""))</f>
        <v>Material recovery</v>
      </c>
      <c r="M48" s="38" t="str">
        <f>IF(tblWaste[[#This Row],[Date]]="","",IFERROR(INDEX(tblStreams[Hazardous],MATCH(tblWaste[[#This Row],[Stream]],tblStreams[Stream],0)),""))</f>
        <v>No</v>
      </c>
      <c r="N48" s="37">
        <f>IF(tblWaste[[#This Row],[Date]]="","",IF(OR(tblWaste[[#This Row],[Weight (kg)]]="",tblWaste[[#This Row],[Class]]=""),"",IF(OR(tblWaste[[#This Row],[Class]]="Material recovery",AND(tblWaste[[#This Row],[Class]]="Energy recovery",CountER="Yes")),tblWaste[[#This Row],[Weight (kg)]],0)))</f>
        <v>260</v>
      </c>
      <c r="O48" s="30">
        <f>IF(tblWaste[[#This Row],[Date]]="","",N(tblWaste[[#This Row],[Charge]])-N(tblWaste[[#This Row],[Rebate]]))</f>
        <v>69.7</v>
      </c>
      <c r="P48" s="39">
        <f>IF(tblWaste[[#This Row],[Date]]="","",IF(AND(tblWaste[[#This Row],[Date]]&gt;=FFrom,tblWaste[[#This Row],[Date]]&lt;=FTo),tblWaste[[#This Row],[Date]],""))</f>
        <v>46004</v>
      </c>
      <c r="Q4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48" s="28" t="s">
        <v>86</v>
      </c>
    </row>
    <row r="49" spans="2:18">
      <c r="B49" s="35">
        <v>46008</v>
      </c>
      <c r="C49" s="28" t="s">
        <v>179</v>
      </c>
      <c r="D49" s="28" t="s">
        <v>81</v>
      </c>
      <c r="E49" s="28" t="s">
        <v>109</v>
      </c>
      <c r="F49" s="28" t="s">
        <v>133</v>
      </c>
      <c r="G49" s="36">
        <v>4.75</v>
      </c>
      <c r="H49" s="28" t="s">
        <v>75</v>
      </c>
      <c r="I49" s="36">
        <v>0</v>
      </c>
      <c r="J49" s="36">
        <v>294.5</v>
      </c>
      <c r="K49" s="37">
        <f>IF(tblWaste[[#This Row],[Date]]="","",IF(tblWaste[[#This Row],[Unit]]="kg",tblWaste[[#This Row],[Weight]],IF(tblWaste[[#This Row],[Unit]]="t",tblWaste[[#This Row],[Weight]]*1000,IF(tblWaste[[#This Row],[Unit]]="lb",tblWaste[[#This Row],[Weight]]*0.45359237,IF(tblWaste[[#This Row],[Unit]]="US ton",tblWaste[[#This Row],[Weight]]*907.18474,"")))))</f>
        <v>4750</v>
      </c>
      <c r="L49" s="38" t="str">
        <f>IF(tblWaste[[#This Row],[Date]]="","",IFERROR(INDEX(tblRoutes[Class],MATCH(tblWaste[[#This Row],[Route]],tblRoutes[Route],0)),""))</f>
        <v>Material recovery</v>
      </c>
      <c r="M49" s="38" t="str">
        <f>IF(tblWaste[[#This Row],[Date]]="","",IFERROR(INDEX(tblStreams[Hazardous],MATCH(tblWaste[[#This Row],[Stream]],tblStreams[Stream],0)),""))</f>
        <v>No</v>
      </c>
      <c r="N49" s="37">
        <f>IF(tblWaste[[#This Row],[Date]]="","",IF(OR(tblWaste[[#This Row],[Weight (kg)]]="",tblWaste[[#This Row],[Class]]=""),"",IF(OR(tblWaste[[#This Row],[Class]]="Material recovery",AND(tblWaste[[#This Row],[Class]]="Energy recovery",CountER="Yes")),tblWaste[[#This Row],[Weight (kg)]],0)))</f>
        <v>4750</v>
      </c>
      <c r="O49" s="30">
        <f>IF(tblWaste[[#This Row],[Date]]="","",N(tblWaste[[#This Row],[Charge]])-N(tblWaste[[#This Row],[Rebate]]))</f>
        <v>-294.5</v>
      </c>
      <c r="P49" s="39">
        <f>IF(tblWaste[[#This Row],[Date]]="","",IF(AND(tblWaste[[#This Row],[Date]]&gt;=FFrom,tblWaste[[#This Row],[Date]]&lt;=FTo),tblWaste[[#This Row],[Date]],""))</f>
        <v>46008</v>
      </c>
      <c r="Q4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49" s="28" t="s">
        <v>86</v>
      </c>
    </row>
    <row r="50" spans="2:18">
      <c r="B50" s="35">
        <v>46011</v>
      </c>
      <c r="C50" s="28" t="s">
        <v>180</v>
      </c>
      <c r="D50" s="28" t="s">
        <v>100</v>
      </c>
      <c r="E50" s="28" t="s">
        <v>118</v>
      </c>
      <c r="F50" s="28" t="s">
        <v>136</v>
      </c>
      <c r="G50" s="36">
        <v>2750</v>
      </c>
      <c r="H50" s="28" t="s">
        <v>77</v>
      </c>
      <c r="I50" s="36">
        <v>369.5</v>
      </c>
      <c r="J50" s="36">
        <v>0</v>
      </c>
      <c r="K50" s="37">
        <f>IF(tblWaste[[#This Row],[Date]]="","",IF(tblWaste[[#This Row],[Unit]]="kg",tblWaste[[#This Row],[Weight]],IF(tblWaste[[#This Row],[Unit]]="t",tblWaste[[#This Row],[Weight]]*1000,IF(tblWaste[[#This Row],[Unit]]="lb",tblWaste[[#This Row],[Weight]]*0.45359237,IF(tblWaste[[#This Row],[Unit]]="US ton",tblWaste[[#This Row],[Weight]]*907.18474,"")))))</f>
        <v>2750</v>
      </c>
      <c r="L50" s="38" t="str">
        <f>IF(tblWaste[[#This Row],[Date]]="","",IFERROR(INDEX(tblRoutes[Class],MATCH(tblWaste[[#This Row],[Route]],tblRoutes[Route],0)),""))</f>
        <v>Disposal</v>
      </c>
      <c r="M50" s="38" t="str">
        <f>IF(tblWaste[[#This Row],[Date]]="","",IFERROR(INDEX(tblStreams[Hazardous],MATCH(tblWaste[[#This Row],[Stream]],tblStreams[Stream],0)),""))</f>
        <v>No</v>
      </c>
      <c r="N50" s="37">
        <f>IF(tblWaste[[#This Row],[Date]]="","",IF(OR(tblWaste[[#This Row],[Weight (kg)]]="",tblWaste[[#This Row],[Class]]=""),"",IF(OR(tblWaste[[#This Row],[Class]]="Material recovery",AND(tblWaste[[#This Row],[Class]]="Energy recovery",CountER="Yes")),tblWaste[[#This Row],[Weight (kg)]],0)))</f>
        <v>0</v>
      </c>
      <c r="O50" s="30">
        <f>IF(tblWaste[[#This Row],[Date]]="","",N(tblWaste[[#This Row],[Charge]])-N(tblWaste[[#This Row],[Rebate]]))</f>
        <v>369.5</v>
      </c>
      <c r="P50" s="39">
        <f>IF(tblWaste[[#This Row],[Date]]="","",IF(AND(tblWaste[[#This Row],[Date]]&gt;=FFrom,tblWaste[[#This Row],[Date]]&lt;=FTo),tblWaste[[#This Row],[Date]],""))</f>
        <v>46011</v>
      </c>
      <c r="Q5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50" s="28" t="s">
        <v>86</v>
      </c>
    </row>
    <row r="51" spans="2:18">
      <c r="B51" s="35">
        <v>46015</v>
      </c>
      <c r="C51" s="28" t="s">
        <v>181</v>
      </c>
      <c r="D51" s="28" t="s">
        <v>100</v>
      </c>
      <c r="E51" s="28" t="s">
        <v>118</v>
      </c>
      <c r="F51" s="28" t="s">
        <v>136</v>
      </c>
      <c r="G51" s="36">
        <v>2220</v>
      </c>
      <c r="H51" s="28" t="s">
        <v>77</v>
      </c>
      <c r="I51" s="36">
        <v>306.96</v>
      </c>
      <c r="J51" s="36">
        <v>0</v>
      </c>
      <c r="K51" s="37">
        <f>IF(tblWaste[[#This Row],[Date]]="","",IF(tblWaste[[#This Row],[Unit]]="kg",tblWaste[[#This Row],[Weight]],IF(tblWaste[[#This Row],[Unit]]="t",tblWaste[[#This Row],[Weight]]*1000,IF(tblWaste[[#This Row],[Unit]]="lb",tblWaste[[#This Row],[Weight]]*0.45359237,IF(tblWaste[[#This Row],[Unit]]="US ton",tblWaste[[#This Row],[Weight]]*907.18474,"")))))</f>
        <v>2220</v>
      </c>
      <c r="L51" s="38" t="str">
        <f>IF(tblWaste[[#This Row],[Date]]="","",IFERROR(INDEX(tblRoutes[Class],MATCH(tblWaste[[#This Row],[Route]],tblRoutes[Route],0)),""))</f>
        <v>Disposal</v>
      </c>
      <c r="M51" s="38" t="str">
        <f>IF(tblWaste[[#This Row],[Date]]="","",IFERROR(INDEX(tblStreams[Hazardous],MATCH(tblWaste[[#This Row],[Stream]],tblStreams[Stream],0)),""))</f>
        <v>No</v>
      </c>
      <c r="N51" s="37">
        <f>IF(tblWaste[[#This Row],[Date]]="","",IF(OR(tblWaste[[#This Row],[Weight (kg)]]="",tblWaste[[#This Row],[Class]]=""),"",IF(OR(tblWaste[[#This Row],[Class]]="Material recovery",AND(tblWaste[[#This Row],[Class]]="Energy recovery",CountER="Yes")),tblWaste[[#This Row],[Weight (kg)]],0)))</f>
        <v>0</v>
      </c>
      <c r="O51" s="30">
        <f>IF(tblWaste[[#This Row],[Date]]="","",N(tblWaste[[#This Row],[Charge]])-N(tblWaste[[#This Row],[Rebate]]))</f>
        <v>306.96</v>
      </c>
      <c r="P51" s="39">
        <f>IF(tblWaste[[#This Row],[Date]]="","",IF(AND(tblWaste[[#This Row],[Date]]&gt;=FFrom,tblWaste[[#This Row],[Date]]&lt;=FTo),tblWaste[[#This Row],[Date]],""))</f>
        <v>46015</v>
      </c>
      <c r="Q5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51" s="28" t="s">
        <v>86</v>
      </c>
    </row>
    <row r="52" spans="2:18">
      <c r="B52" s="35">
        <v>46018</v>
      </c>
      <c r="C52" s="28" t="s">
        <v>182</v>
      </c>
      <c r="D52" s="28" t="s">
        <v>81</v>
      </c>
      <c r="E52" s="28" t="s">
        <v>109</v>
      </c>
      <c r="F52" s="28" t="s">
        <v>133</v>
      </c>
      <c r="G52" s="36">
        <v>5.85</v>
      </c>
      <c r="H52" s="28" t="s">
        <v>75</v>
      </c>
      <c r="I52" s="36">
        <v>0</v>
      </c>
      <c r="J52" s="36">
        <v>362.7</v>
      </c>
      <c r="K52" s="37">
        <f>IF(tblWaste[[#This Row],[Date]]="","",IF(tblWaste[[#This Row],[Unit]]="kg",tblWaste[[#This Row],[Weight]],IF(tblWaste[[#This Row],[Unit]]="t",tblWaste[[#This Row],[Weight]]*1000,IF(tblWaste[[#This Row],[Unit]]="lb",tblWaste[[#This Row],[Weight]]*0.45359237,IF(tblWaste[[#This Row],[Unit]]="US ton",tblWaste[[#This Row],[Weight]]*907.18474,"")))))</f>
        <v>5850</v>
      </c>
      <c r="L52" s="38" t="str">
        <f>IF(tblWaste[[#This Row],[Date]]="","",IFERROR(INDEX(tblRoutes[Class],MATCH(tblWaste[[#This Row],[Route]],tblRoutes[Route],0)),""))</f>
        <v>Material recovery</v>
      </c>
      <c r="M52" s="38" t="str">
        <f>IF(tblWaste[[#This Row],[Date]]="","",IFERROR(INDEX(tblStreams[Hazardous],MATCH(tblWaste[[#This Row],[Stream]],tblStreams[Stream],0)),""))</f>
        <v>No</v>
      </c>
      <c r="N52" s="37">
        <f>IF(tblWaste[[#This Row],[Date]]="","",IF(OR(tblWaste[[#This Row],[Weight (kg)]]="",tblWaste[[#This Row],[Class]]=""),"",IF(OR(tblWaste[[#This Row],[Class]]="Material recovery",AND(tblWaste[[#This Row],[Class]]="Energy recovery",CountER="Yes")),tblWaste[[#This Row],[Weight (kg)]],0)))</f>
        <v>5850</v>
      </c>
      <c r="O52" s="30">
        <f>IF(tblWaste[[#This Row],[Date]]="","",N(tblWaste[[#This Row],[Charge]])-N(tblWaste[[#This Row],[Rebate]]))</f>
        <v>-362.7</v>
      </c>
      <c r="P52" s="39">
        <f>IF(tblWaste[[#This Row],[Date]]="","",IF(AND(tblWaste[[#This Row],[Date]]&gt;=FFrom,tblWaste[[#This Row],[Date]]&lt;=FTo),tblWaste[[#This Row],[Date]],""))</f>
        <v>46018</v>
      </c>
      <c r="Q5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52" s="28" t="s">
        <v>86</v>
      </c>
    </row>
    <row r="53" spans="2:18">
      <c r="B53" s="35">
        <v>46025</v>
      </c>
      <c r="C53" s="28" t="s">
        <v>183</v>
      </c>
      <c r="D53" s="28" t="s">
        <v>90</v>
      </c>
      <c r="E53" s="28" t="s">
        <v>106</v>
      </c>
      <c r="F53" s="28" t="s">
        <v>138</v>
      </c>
      <c r="G53" s="36">
        <v>1630</v>
      </c>
      <c r="H53" s="28" t="s">
        <v>77</v>
      </c>
      <c r="I53" s="36">
        <v>102.05</v>
      </c>
      <c r="J53" s="36">
        <v>0</v>
      </c>
      <c r="K53" s="37">
        <f>IF(tblWaste[[#This Row],[Date]]="","",IF(tblWaste[[#This Row],[Unit]]="kg",tblWaste[[#This Row],[Weight]],IF(tblWaste[[#This Row],[Unit]]="t",tblWaste[[#This Row],[Weight]]*1000,IF(tblWaste[[#This Row],[Unit]]="lb",tblWaste[[#This Row],[Weight]]*0.45359237,IF(tblWaste[[#This Row],[Unit]]="US ton",tblWaste[[#This Row],[Weight]]*907.18474,"")))))</f>
        <v>1630</v>
      </c>
      <c r="L53" s="38" t="str">
        <f>IF(tblWaste[[#This Row],[Date]]="","",IFERROR(INDEX(tblRoutes[Class],MATCH(tblWaste[[#This Row],[Route]],tblRoutes[Route],0)),""))</f>
        <v>Material recovery</v>
      </c>
      <c r="M53" s="38" t="str">
        <f>IF(tblWaste[[#This Row],[Date]]="","",IFERROR(INDEX(tblStreams[Hazardous],MATCH(tblWaste[[#This Row],[Stream]],tblStreams[Stream],0)),""))</f>
        <v>No</v>
      </c>
      <c r="N53" s="37">
        <f>IF(tblWaste[[#This Row],[Date]]="","",IF(OR(tblWaste[[#This Row],[Weight (kg)]]="",tblWaste[[#This Row],[Class]]=""),"",IF(OR(tblWaste[[#This Row],[Class]]="Material recovery",AND(tblWaste[[#This Row],[Class]]="Energy recovery",CountER="Yes")),tblWaste[[#This Row],[Weight (kg)]],0)))</f>
        <v>1630</v>
      </c>
      <c r="O53" s="30">
        <f>IF(tblWaste[[#This Row],[Date]]="","",N(tblWaste[[#This Row],[Charge]])-N(tblWaste[[#This Row],[Rebate]]))</f>
        <v>102.05</v>
      </c>
      <c r="P53" s="39">
        <f>IF(tblWaste[[#This Row],[Date]]="","",IF(AND(tblWaste[[#This Row],[Date]]&gt;=FFrom,tblWaste[[#This Row],[Date]]&lt;=FTo),tblWaste[[#This Row],[Date]],""))</f>
        <v>46025</v>
      </c>
      <c r="Q5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53" s="28" t="s">
        <v>86</v>
      </c>
    </row>
    <row r="54" spans="2:18">
      <c r="B54" s="35">
        <v>46025</v>
      </c>
      <c r="C54" s="28" t="s">
        <v>184</v>
      </c>
      <c r="D54" s="28" t="s">
        <v>93</v>
      </c>
      <c r="E54" s="28" t="s">
        <v>109</v>
      </c>
      <c r="F54" s="28" t="s">
        <v>140</v>
      </c>
      <c r="G54" s="36">
        <v>1080</v>
      </c>
      <c r="H54" s="28" t="s">
        <v>77</v>
      </c>
      <c r="I54" s="36">
        <v>0</v>
      </c>
      <c r="J54" s="36">
        <v>156.6</v>
      </c>
      <c r="K54" s="37">
        <f>IF(tblWaste[[#This Row],[Date]]="","",IF(tblWaste[[#This Row],[Unit]]="kg",tblWaste[[#This Row],[Weight]],IF(tblWaste[[#This Row],[Unit]]="t",tblWaste[[#This Row],[Weight]]*1000,IF(tblWaste[[#This Row],[Unit]]="lb",tblWaste[[#This Row],[Weight]]*0.45359237,IF(tblWaste[[#This Row],[Unit]]="US ton",tblWaste[[#This Row],[Weight]]*907.18474,"")))))</f>
        <v>1080</v>
      </c>
      <c r="L54" s="38" t="str">
        <f>IF(tblWaste[[#This Row],[Date]]="","",IFERROR(INDEX(tblRoutes[Class],MATCH(tblWaste[[#This Row],[Route]],tblRoutes[Route],0)),""))</f>
        <v>Material recovery</v>
      </c>
      <c r="M54" s="38" t="str">
        <f>IF(tblWaste[[#This Row],[Date]]="","",IFERROR(INDEX(tblStreams[Hazardous],MATCH(tblWaste[[#This Row],[Stream]],tblStreams[Stream],0)),""))</f>
        <v>No</v>
      </c>
      <c r="N54" s="37">
        <f>IF(tblWaste[[#This Row],[Date]]="","",IF(OR(tblWaste[[#This Row],[Weight (kg)]]="",tblWaste[[#This Row],[Class]]=""),"",IF(OR(tblWaste[[#This Row],[Class]]="Material recovery",AND(tblWaste[[#This Row],[Class]]="Energy recovery",CountER="Yes")),tblWaste[[#This Row],[Weight (kg)]],0)))</f>
        <v>1080</v>
      </c>
      <c r="O54" s="30">
        <f>IF(tblWaste[[#This Row],[Date]]="","",N(tblWaste[[#This Row],[Charge]])-N(tblWaste[[#This Row],[Rebate]]))</f>
        <v>-156.6</v>
      </c>
      <c r="P54" s="39">
        <f>IF(tblWaste[[#This Row],[Date]]="","",IF(AND(tblWaste[[#This Row],[Date]]&gt;=FFrom,tblWaste[[#This Row],[Date]]&lt;=FTo),tblWaste[[#This Row],[Date]],""))</f>
        <v>46025</v>
      </c>
      <c r="Q5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54" s="28" t="s">
        <v>86</v>
      </c>
    </row>
    <row r="55" spans="2:18">
      <c r="B55" s="35">
        <v>46025</v>
      </c>
      <c r="C55" s="28" t="s">
        <v>185</v>
      </c>
      <c r="D55" s="28" t="s">
        <v>95</v>
      </c>
      <c r="E55" s="28" t="s">
        <v>111</v>
      </c>
      <c r="F55" s="28" t="s">
        <v>136</v>
      </c>
      <c r="G55" s="36">
        <v>290</v>
      </c>
      <c r="H55" s="28" t="s">
        <v>77</v>
      </c>
      <c r="I55" s="36">
        <v>72.55</v>
      </c>
      <c r="J55" s="36">
        <v>0</v>
      </c>
      <c r="K55" s="37">
        <f>IF(tblWaste[[#This Row],[Date]]="","",IF(tblWaste[[#This Row],[Unit]]="kg",tblWaste[[#This Row],[Weight]],IF(tblWaste[[#This Row],[Unit]]="t",tblWaste[[#This Row],[Weight]]*1000,IF(tblWaste[[#This Row],[Unit]]="lb",tblWaste[[#This Row],[Weight]]*0.45359237,IF(tblWaste[[#This Row],[Unit]]="US ton",tblWaste[[#This Row],[Weight]]*907.18474,"")))))</f>
        <v>290</v>
      </c>
      <c r="L55" s="38" t="str">
        <f>IF(tblWaste[[#This Row],[Date]]="","",IFERROR(INDEX(tblRoutes[Class],MATCH(tblWaste[[#This Row],[Route]],tblRoutes[Route],0)),""))</f>
        <v>Material recovery</v>
      </c>
      <c r="M55" s="38" t="str">
        <f>IF(tblWaste[[#This Row],[Date]]="","",IFERROR(INDEX(tblStreams[Hazardous],MATCH(tblWaste[[#This Row],[Stream]],tblStreams[Stream],0)),""))</f>
        <v>No</v>
      </c>
      <c r="N55" s="37">
        <f>IF(tblWaste[[#This Row],[Date]]="","",IF(OR(tblWaste[[#This Row],[Weight (kg)]]="",tblWaste[[#This Row],[Class]]=""),"",IF(OR(tblWaste[[#This Row],[Class]]="Material recovery",AND(tblWaste[[#This Row],[Class]]="Energy recovery",CountER="Yes")),tblWaste[[#This Row],[Weight (kg)]],0)))</f>
        <v>290</v>
      </c>
      <c r="O55" s="30">
        <f>IF(tblWaste[[#This Row],[Date]]="","",N(tblWaste[[#This Row],[Charge]])-N(tblWaste[[#This Row],[Rebate]]))</f>
        <v>72.55</v>
      </c>
      <c r="P55" s="39">
        <f>IF(tblWaste[[#This Row],[Date]]="","",IF(AND(tblWaste[[#This Row],[Date]]&gt;=FFrom,tblWaste[[#This Row],[Date]]&lt;=FTo),tblWaste[[#This Row],[Date]],""))</f>
        <v>46025</v>
      </c>
      <c r="Q5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55" s="28" t="s">
        <v>86</v>
      </c>
    </row>
    <row r="56" spans="2:18">
      <c r="B56" s="35">
        <v>46026</v>
      </c>
      <c r="C56" s="28" t="s">
        <v>186</v>
      </c>
      <c r="D56" s="28" t="s">
        <v>81</v>
      </c>
      <c r="E56" s="28" t="s">
        <v>109</v>
      </c>
      <c r="F56" s="28" t="s">
        <v>133</v>
      </c>
      <c r="G56" s="36">
        <v>5.37</v>
      </c>
      <c r="H56" s="28" t="s">
        <v>75</v>
      </c>
      <c r="I56" s="36">
        <v>0</v>
      </c>
      <c r="J56" s="36">
        <v>332.94</v>
      </c>
      <c r="K56" s="37">
        <f>IF(tblWaste[[#This Row],[Date]]="","",IF(tblWaste[[#This Row],[Unit]]="kg",tblWaste[[#This Row],[Weight]],IF(tblWaste[[#This Row],[Unit]]="t",tblWaste[[#This Row],[Weight]]*1000,IF(tblWaste[[#This Row],[Unit]]="lb",tblWaste[[#This Row],[Weight]]*0.45359237,IF(tblWaste[[#This Row],[Unit]]="US ton",tblWaste[[#This Row],[Weight]]*907.18474,"")))))</f>
        <v>5370</v>
      </c>
      <c r="L56" s="38" t="str">
        <f>IF(tblWaste[[#This Row],[Date]]="","",IFERROR(INDEX(tblRoutes[Class],MATCH(tblWaste[[#This Row],[Route]],tblRoutes[Route],0)),""))</f>
        <v>Material recovery</v>
      </c>
      <c r="M56" s="38" t="str">
        <f>IF(tblWaste[[#This Row],[Date]]="","",IFERROR(INDEX(tblStreams[Hazardous],MATCH(tblWaste[[#This Row],[Stream]],tblStreams[Stream],0)),""))</f>
        <v>No</v>
      </c>
      <c r="N56" s="37">
        <f>IF(tblWaste[[#This Row],[Date]]="","",IF(OR(tblWaste[[#This Row],[Weight (kg)]]="",tblWaste[[#This Row],[Class]]=""),"",IF(OR(tblWaste[[#This Row],[Class]]="Material recovery",AND(tblWaste[[#This Row],[Class]]="Energy recovery",CountER="Yes")),tblWaste[[#This Row],[Weight (kg)]],0)))</f>
        <v>5370</v>
      </c>
      <c r="O56" s="30">
        <f>IF(tblWaste[[#This Row],[Date]]="","",N(tblWaste[[#This Row],[Charge]])-N(tblWaste[[#This Row],[Rebate]]))</f>
        <v>-332.94</v>
      </c>
      <c r="P56" s="39">
        <f>IF(tblWaste[[#This Row],[Date]]="","",IF(AND(tblWaste[[#This Row],[Date]]&gt;=FFrom,tblWaste[[#This Row],[Date]]&lt;=FTo),tblWaste[[#This Row],[Date]],""))</f>
        <v>46026</v>
      </c>
      <c r="Q5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56" s="28" t="s">
        <v>86</v>
      </c>
    </row>
    <row r="57" spans="2:18">
      <c r="B57" s="35">
        <v>46027</v>
      </c>
      <c r="C57" s="28" t="s">
        <v>187</v>
      </c>
      <c r="D57" s="28" t="s">
        <v>87</v>
      </c>
      <c r="E57" s="28" t="s">
        <v>118</v>
      </c>
      <c r="F57" s="28" t="s">
        <v>136</v>
      </c>
      <c r="G57" s="36">
        <v>2440</v>
      </c>
      <c r="H57" s="28" t="s">
        <v>77</v>
      </c>
      <c r="I57" s="36">
        <v>332.92</v>
      </c>
      <c r="J57" s="36">
        <v>0</v>
      </c>
      <c r="K57" s="37">
        <f>IF(tblWaste[[#This Row],[Date]]="","",IF(tblWaste[[#This Row],[Unit]]="kg",tblWaste[[#This Row],[Weight]],IF(tblWaste[[#This Row],[Unit]]="t",tblWaste[[#This Row],[Weight]]*1000,IF(tblWaste[[#This Row],[Unit]]="lb",tblWaste[[#This Row],[Weight]]*0.45359237,IF(tblWaste[[#This Row],[Unit]]="US ton",tblWaste[[#This Row],[Weight]]*907.18474,"")))))</f>
        <v>2440</v>
      </c>
      <c r="L57" s="38" t="str">
        <f>IF(tblWaste[[#This Row],[Date]]="","",IFERROR(INDEX(tblRoutes[Class],MATCH(tblWaste[[#This Row],[Route]],tblRoutes[Route],0)),""))</f>
        <v>Disposal</v>
      </c>
      <c r="M57" s="38" t="str">
        <f>IF(tblWaste[[#This Row],[Date]]="","",IFERROR(INDEX(tblStreams[Hazardous],MATCH(tblWaste[[#This Row],[Stream]],tblStreams[Stream],0)),""))</f>
        <v>No</v>
      </c>
      <c r="N57" s="37">
        <f>IF(tblWaste[[#This Row],[Date]]="","",IF(OR(tblWaste[[#This Row],[Weight (kg)]]="",tblWaste[[#This Row],[Class]]=""),"",IF(OR(tblWaste[[#This Row],[Class]]="Material recovery",AND(tblWaste[[#This Row],[Class]]="Energy recovery",CountER="Yes")),tblWaste[[#This Row],[Weight (kg)]],0)))</f>
        <v>0</v>
      </c>
      <c r="O57" s="30">
        <f>IF(tblWaste[[#This Row],[Date]]="","",N(tblWaste[[#This Row],[Charge]])-N(tblWaste[[#This Row],[Rebate]]))</f>
        <v>332.92</v>
      </c>
      <c r="P57" s="39">
        <f>IF(tblWaste[[#This Row],[Date]]="","",IF(AND(tblWaste[[#This Row],[Date]]&gt;=FFrom,tblWaste[[#This Row],[Date]]&lt;=FTo),tblWaste[[#This Row],[Date]],""))</f>
        <v>46027</v>
      </c>
      <c r="Q5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57" s="28" t="s">
        <v>86</v>
      </c>
    </row>
    <row r="58" spans="2:18">
      <c r="B58" s="35">
        <v>46027</v>
      </c>
      <c r="C58" s="28" t="s">
        <v>188</v>
      </c>
      <c r="D58" s="28" t="s">
        <v>100</v>
      </c>
      <c r="E58" s="28" t="s">
        <v>118</v>
      </c>
      <c r="F58" s="28" t="s">
        <v>136</v>
      </c>
      <c r="G58" s="36">
        <v>2060</v>
      </c>
      <c r="H58" s="28" t="s">
        <v>77</v>
      </c>
      <c r="I58" s="36">
        <v>288.08</v>
      </c>
      <c r="J58" s="36">
        <v>0</v>
      </c>
      <c r="K58" s="37">
        <f>IF(tblWaste[[#This Row],[Date]]="","",IF(tblWaste[[#This Row],[Unit]]="kg",tblWaste[[#This Row],[Weight]],IF(tblWaste[[#This Row],[Unit]]="t",tblWaste[[#This Row],[Weight]]*1000,IF(tblWaste[[#This Row],[Unit]]="lb",tblWaste[[#This Row],[Weight]]*0.45359237,IF(tblWaste[[#This Row],[Unit]]="US ton",tblWaste[[#This Row],[Weight]]*907.18474,"")))))</f>
        <v>2060</v>
      </c>
      <c r="L58" s="38" t="str">
        <f>IF(tblWaste[[#This Row],[Date]]="","",IFERROR(INDEX(tblRoutes[Class],MATCH(tblWaste[[#This Row],[Route]],tblRoutes[Route],0)),""))</f>
        <v>Disposal</v>
      </c>
      <c r="M58" s="38" t="str">
        <f>IF(tblWaste[[#This Row],[Date]]="","",IFERROR(INDEX(tblStreams[Hazardous],MATCH(tblWaste[[#This Row],[Stream]],tblStreams[Stream],0)),""))</f>
        <v>No</v>
      </c>
      <c r="N58" s="37">
        <f>IF(tblWaste[[#This Row],[Date]]="","",IF(OR(tblWaste[[#This Row],[Weight (kg)]]="",tblWaste[[#This Row],[Class]]=""),"",IF(OR(tblWaste[[#This Row],[Class]]="Material recovery",AND(tblWaste[[#This Row],[Class]]="Energy recovery",CountER="Yes")),tblWaste[[#This Row],[Weight (kg)]],0)))</f>
        <v>0</v>
      </c>
      <c r="O58" s="30">
        <f>IF(tblWaste[[#This Row],[Date]]="","",N(tblWaste[[#This Row],[Charge]])-N(tblWaste[[#This Row],[Rebate]]))</f>
        <v>288.08</v>
      </c>
      <c r="P58" s="39">
        <f>IF(tblWaste[[#This Row],[Date]]="","",IF(AND(tblWaste[[#This Row],[Date]]&gt;=FFrom,tblWaste[[#This Row],[Date]]&lt;=FTo),tblWaste[[#This Row],[Date]],""))</f>
        <v>46027</v>
      </c>
      <c r="Q5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58" s="28" t="s">
        <v>86</v>
      </c>
    </row>
    <row r="59" spans="2:18">
      <c r="B59" s="35">
        <v>46028</v>
      </c>
      <c r="C59" s="28" t="s">
        <v>189</v>
      </c>
      <c r="D59" s="28" t="s">
        <v>85</v>
      </c>
      <c r="E59" s="28" t="s">
        <v>109</v>
      </c>
      <c r="F59" s="28" t="s">
        <v>133</v>
      </c>
      <c r="G59" s="36">
        <v>770</v>
      </c>
      <c r="H59" s="28" t="s">
        <v>77</v>
      </c>
      <c r="I59" s="36">
        <v>0</v>
      </c>
      <c r="J59" s="36">
        <v>15.4</v>
      </c>
      <c r="K59" s="37">
        <f>IF(tblWaste[[#This Row],[Date]]="","",IF(tblWaste[[#This Row],[Unit]]="kg",tblWaste[[#This Row],[Weight]],IF(tblWaste[[#This Row],[Unit]]="t",tblWaste[[#This Row],[Weight]]*1000,IF(tblWaste[[#This Row],[Unit]]="lb",tblWaste[[#This Row],[Weight]]*0.45359237,IF(tblWaste[[#This Row],[Unit]]="US ton",tblWaste[[#This Row],[Weight]]*907.18474,"")))))</f>
        <v>770</v>
      </c>
      <c r="L59" s="38" t="str">
        <f>IF(tblWaste[[#This Row],[Date]]="","",IFERROR(INDEX(tblRoutes[Class],MATCH(tblWaste[[#This Row],[Route]],tblRoutes[Route],0)),""))</f>
        <v>Material recovery</v>
      </c>
      <c r="M59" s="38" t="str">
        <f>IF(tblWaste[[#This Row],[Date]]="","",IFERROR(INDEX(tblStreams[Hazardous],MATCH(tblWaste[[#This Row],[Stream]],tblStreams[Stream],0)),""))</f>
        <v>No</v>
      </c>
      <c r="N59" s="37">
        <f>IF(tblWaste[[#This Row],[Date]]="","",IF(OR(tblWaste[[#This Row],[Weight (kg)]]="",tblWaste[[#This Row],[Class]]=""),"",IF(OR(tblWaste[[#This Row],[Class]]="Material recovery",AND(tblWaste[[#This Row],[Class]]="Energy recovery",CountER="Yes")),tblWaste[[#This Row],[Weight (kg)]],0)))</f>
        <v>770</v>
      </c>
      <c r="O59" s="30">
        <f>IF(tblWaste[[#This Row],[Date]]="","",N(tblWaste[[#This Row],[Charge]])-N(tblWaste[[#This Row],[Rebate]]))</f>
        <v>-15.4</v>
      </c>
      <c r="P59" s="39">
        <f>IF(tblWaste[[#This Row],[Date]]="","",IF(AND(tblWaste[[#This Row],[Date]]&gt;=FFrom,tblWaste[[#This Row],[Date]]&lt;=FTo),tblWaste[[#This Row],[Date]],""))</f>
        <v>46028</v>
      </c>
      <c r="Q5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59" s="28" t="s">
        <v>86</v>
      </c>
    </row>
    <row r="60" spans="2:18">
      <c r="B60" s="35">
        <v>46032</v>
      </c>
      <c r="C60" s="28" t="s">
        <v>190</v>
      </c>
      <c r="D60" s="28" t="s">
        <v>87</v>
      </c>
      <c r="E60" s="28" t="s">
        <v>118</v>
      </c>
      <c r="F60" s="28" t="s">
        <v>136</v>
      </c>
      <c r="G60" s="36">
        <v>2220</v>
      </c>
      <c r="H60" s="28" t="s">
        <v>77</v>
      </c>
      <c r="I60" s="36">
        <v>306.96</v>
      </c>
      <c r="J60" s="36">
        <v>0</v>
      </c>
      <c r="K60" s="37">
        <f>IF(tblWaste[[#This Row],[Date]]="","",IF(tblWaste[[#This Row],[Unit]]="kg",tblWaste[[#This Row],[Weight]],IF(tblWaste[[#This Row],[Unit]]="t",tblWaste[[#This Row],[Weight]]*1000,IF(tblWaste[[#This Row],[Unit]]="lb",tblWaste[[#This Row],[Weight]]*0.45359237,IF(tblWaste[[#This Row],[Unit]]="US ton",tblWaste[[#This Row],[Weight]]*907.18474,"")))))</f>
        <v>2220</v>
      </c>
      <c r="L60" s="38" t="str">
        <f>IF(tblWaste[[#This Row],[Date]]="","",IFERROR(INDEX(tblRoutes[Class],MATCH(tblWaste[[#This Row],[Route]],tblRoutes[Route],0)),""))</f>
        <v>Disposal</v>
      </c>
      <c r="M60" s="38" t="str">
        <f>IF(tblWaste[[#This Row],[Date]]="","",IFERROR(INDEX(tblStreams[Hazardous],MATCH(tblWaste[[#This Row],[Stream]],tblStreams[Stream],0)),""))</f>
        <v>No</v>
      </c>
      <c r="N60" s="37">
        <f>IF(tblWaste[[#This Row],[Date]]="","",IF(OR(tblWaste[[#This Row],[Weight (kg)]]="",tblWaste[[#This Row],[Class]]=""),"",IF(OR(tblWaste[[#This Row],[Class]]="Material recovery",AND(tblWaste[[#This Row],[Class]]="Energy recovery",CountER="Yes")),tblWaste[[#This Row],[Weight (kg)]],0)))</f>
        <v>0</v>
      </c>
      <c r="O60" s="30">
        <f>IF(tblWaste[[#This Row],[Date]]="","",N(tblWaste[[#This Row],[Charge]])-N(tblWaste[[#This Row],[Rebate]]))</f>
        <v>306.96</v>
      </c>
      <c r="P60" s="39">
        <f>IF(tblWaste[[#This Row],[Date]]="","",IF(AND(tblWaste[[#This Row],[Date]]&gt;=FFrom,tblWaste[[#This Row],[Date]]&lt;=FTo),tblWaste[[#This Row],[Date]],""))</f>
        <v>46032</v>
      </c>
      <c r="Q6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60" s="28" t="s">
        <v>86</v>
      </c>
    </row>
    <row r="61" spans="2:18">
      <c r="B61" s="35">
        <v>46032</v>
      </c>
      <c r="C61" s="28" t="s">
        <v>191</v>
      </c>
      <c r="D61" s="28" t="s">
        <v>95</v>
      </c>
      <c r="E61" s="28" t="s">
        <v>111</v>
      </c>
      <c r="F61" s="28" t="s">
        <v>136</v>
      </c>
      <c r="G61" s="36">
        <v>290</v>
      </c>
      <c r="H61" s="28" t="s">
        <v>77</v>
      </c>
      <c r="I61" s="36">
        <v>72.55</v>
      </c>
      <c r="J61" s="36">
        <v>0</v>
      </c>
      <c r="K61" s="37">
        <f>IF(tblWaste[[#This Row],[Date]]="","",IF(tblWaste[[#This Row],[Unit]]="kg",tblWaste[[#This Row],[Weight]],IF(tblWaste[[#This Row],[Unit]]="t",tblWaste[[#This Row],[Weight]]*1000,IF(tblWaste[[#This Row],[Unit]]="lb",tblWaste[[#This Row],[Weight]]*0.45359237,IF(tblWaste[[#This Row],[Unit]]="US ton",tblWaste[[#This Row],[Weight]]*907.18474,"")))))</f>
        <v>290</v>
      </c>
      <c r="L61" s="38" t="str">
        <f>IF(tblWaste[[#This Row],[Date]]="","",IFERROR(INDEX(tblRoutes[Class],MATCH(tblWaste[[#This Row],[Route]],tblRoutes[Route],0)),""))</f>
        <v>Material recovery</v>
      </c>
      <c r="M61" s="38" t="str">
        <f>IF(tblWaste[[#This Row],[Date]]="","",IFERROR(INDEX(tblStreams[Hazardous],MATCH(tblWaste[[#This Row],[Stream]],tblStreams[Stream],0)),""))</f>
        <v>No</v>
      </c>
      <c r="N61" s="37">
        <f>IF(tblWaste[[#This Row],[Date]]="","",IF(OR(tblWaste[[#This Row],[Weight (kg)]]="",tblWaste[[#This Row],[Class]]=""),"",IF(OR(tblWaste[[#This Row],[Class]]="Material recovery",AND(tblWaste[[#This Row],[Class]]="Energy recovery",CountER="Yes")),tblWaste[[#This Row],[Weight (kg)]],0)))</f>
        <v>290</v>
      </c>
      <c r="O61" s="30">
        <f>IF(tblWaste[[#This Row],[Date]]="","",N(tblWaste[[#This Row],[Charge]])-N(tblWaste[[#This Row],[Rebate]]))</f>
        <v>72.55</v>
      </c>
      <c r="P61" s="39">
        <f>IF(tblWaste[[#This Row],[Date]]="","",IF(AND(tblWaste[[#This Row],[Date]]&gt;=FFrom,tblWaste[[#This Row],[Date]]&lt;=FTo),tblWaste[[#This Row],[Date]],""))</f>
        <v>46032</v>
      </c>
      <c r="Q6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61" s="28" t="s">
        <v>86</v>
      </c>
    </row>
    <row r="62" spans="2:18">
      <c r="B62" s="35">
        <v>46033</v>
      </c>
      <c r="C62" s="28" t="s">
        <v>192</v>
      </c>
      <c r="D62" s="28" t="s">
        <v>100</v>
      </c>
      <c r="E62" s="28" t="s">
        <v>118</v>
      </c>
      <c r="F62" s="28" t="s">
        <v>136</v>
      </c>
      <c r="G62" s="36">
        <v>2570</v>
      </c>
      <c r="H62" s="28" t="s">
        <v>77</v>
      </c>
      <c r="I62" s="36">
        <v>348.26</v>
      </c>
      <c r="J62" s="36">
        <v>0</v>
      </c>
      <c r="K62" s="37">
        <f>IF(tblWaste[[#This Row],[Date]]="","",IF(tblWaste[[#This Row],[Unit]]="kg",tblWaste[[#This Row],[Weight]],IF(tblWaste[[#This Row],[Unit]]="t",tblWaste[[#This Row],[Weight]]*1000,IF(tblWaste[[#This Row],[Unit]]="lb",tblWaste[[#This Row],[Weight]]*0.45359237,IF(tblWaste[[#This Row],[Unit]]="US ton",tblWaste[[#This Row],[Weight]]*907.18474,"")))))</f>
        <v>2570</v>
      </c>
      <c r="L62" s="38" t="str">
        <f>IF(tblWaste[[#This Row],[Date]]="","",IFERROR(INDEX(tblRoutes[Class],MATCH(tblWaste[[#This Row],[Route]],tblRoutes[Route],0)),""))</f>
        <v>Disposal</v>
      </c>
      <c r="M62" s="38" t="str">
        <f>IF(tblWaste[[#This Row],[Date]]="","",IFERROR(INDEX(tblStreams[Hazardous],MATCH(tblWaste[[#This Row],[Stream]],tblStreams[Stream],0)),""))</f>
        <v>No</v>
      </c>
      <c r="N62" s="37">
        <f>IF(tblWaste[[#This Row],[Date]]="","",IF(OR(tblWaste[[#This Row],[Weight (kg)]]="",tblWaste[[#This Row],[Class]]=""),"",IF(OR(tblWaste[[#This Row],[Class]]="Material recovery",AND(tblWaste[[#This Row],[Class]]="Energy recovery",CountER="Yes")),tblWaste[[#This Row],[Weight (kg)]],0)))</f>
        <v>0</v>
      </c>
      <c r="O62" s="30">
        <f>IF(tblWaste[[#This Row],[Date]]="","",N(tblWaste[[#This Row],[Charge]])-N(tblWaste[[#This Row],[Rebate]]))</f>
        <v>348.26</v>
      </c>
      <c r="P62" s="39">
        <f>IF(tblWaste[[#This Row],[Date]]="","",IF(AND(tblWaste[[#This Row],[Date]]&gt;=FFrom,tblWaste[[#This Row],[Date]]&lt;=FTo),tblWaste[[#This Row],[Date]],""))</f>
        <v>46033</v>
      </c>
      <c r="Q6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62" s="28" t="s">
        <v>86</v>
      </c>
    </row>
    <row r="63" spans="2:18">
      <c r="B63" s="35">
        <v>46035</v>
      </c>
      <c r="C63" s="28" t="s">
        <v>193</v>
      </c>
      <c r="D63" s="28" t="s">
        <v>81</v>
      </c>
      <c r="E63" s="28" t="s">
        <v>109</v>
      </c>
      <c r="F63" s="28" t="s">
        <v>133</v>
      </c>
      <c r="G63" s="36">
        <v>4.47</v>
      </c>
      <c r="H63" s="28" t="s">
        <v>75</v>
      </c>
      <c r="I63" s="36">
        <v>0</v>
      </c>
      <c r="J63" s="36">
        <v>277.14</v>
      </c>
      <c r="K63" s="37">
        <f>IF(tblWaste[[#This Row],[Date]]="","",IF(tblWaste[[#This Row],[Unit]]="kg",tblWaste[[#This Row],[Weight]],IF(tblWaste[[#This Row],[Unit]]="t",tblWaste[[#This Row],[Weight]]*1000,IF(tblWaste[[#This Row],[Unit]]="lb",tblWaste[[#This Row],[Weight]]*0.45359237,IF(tblWaste[[#This Row],[Unit]]="US ton",tblWaste[[#This Row],[Weight]]*907.18474,"")))))</f>
        <v>4470</v>
      </c>
      <c r="L63" s="38" t="str">
        <f>IF(tblWaste[[#This Row],[Date]]="","",IFERROR(INDEX(tblRoutes[Class],MATCH(tblWaste[[#This Row],[Route]],tblRoutes[Route],0)),""))</f>
        <v>Material recovery</v>
      </c>
      <c r="M63" s="38" t="str">
        <f>IF(tblWaste[[#This Row],[Date]]="","",IFERROR(INDEX(tblStreams[Hazardous],MATCH(tblWaste[[#This Row],[Stream]],tblStreams[Stream],0)),""))</f>
        <v>No</v>
      </c>
      <c r="N63" s="37">
        <f>IF(tblWaste[[#This Row],[Date]]="","",IF(OR(tblWaste[[#This Row],[Weight (kg)]]="",tblWaste[[#This Row],[Class]]=""),"",IF(OR(tblWaste[[#This Row],[Class]]="Material recovery",AND(tblWaste[[#This Row],[Class]]="Energy recovery",CountER="Yes")),tblWaste[[#This Row],[Weight (kg)]],0)))</f>
        <v>4470</v>
      </c>
      <c r="O63" s="30">
        <f>IF(tblWaste[[#This Row],[Date]]="","",N(tblWaste[[#This Row],[Charge]])-N(tblWaste[[#This Row],[Rebate]]))</f>
        <v>-277.14</v>
      </c>
      <c r="P63" s="39">
        <f>IF(tblWaste[[#This Row],[Date]]="","",IF(AND(tblWaste[[#This Row],[Date]]&gt;=FFrom,tblWaste[[#This Row],[Date]]&lt;=FTo),tblWaste[[#This Row],[Date]],""))</f>
        <v>46035</v>
      </c>
      <c r="Q6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63" s="28" t="s">
        <v>86</v>
      </c>
    </row>
    <row r="64" spans="2:18">
      <c r="B64" s="35">
        <v>46040</v>
      </c>
      <c r="C64" s="28" t="s">
        <v>194</v>
      </c>
      <c r="D64" s="28" t="s">
        <v>81</v>
      </c>
      <c r="E64" s="28" t="s">
        <v>109</v>
      </c>
      <c r="F64" s="28" t="s">
        <v>133</v>
      </c>
      <c r="G64" s="36">
        <v>5.19</v>
      </c>
      <c r="H64" s="28" t="s">
        <v>75</v>
      </c>
      <c r="I64" s="36">
        <v>0</v>
      </c>
      <c r="J64" s="36">
        <v>321.78</v>
      </c>
      <c r="K64" s="37">
        <f>IF(tblWaste[[#This Row],[Date]]="","",IF(tblWaste[[#This Row],[Unit]]="kg",tblWaste[[#This Row],[Weight]],IF(tblWaste[[#This Row],[Unit]]="t",tblWaste[[#This Row],[Weight]]*1000,IF(tblWaste[[#This Row],[Unit]]="lb",tblWaste[[#This Row],[Weight]]*0.45359237,IF(tblWaste[[#This Row],[Unit]]="US ton",tblWaste[[#This Row],[Weight]]*907.18474,"")))))</f>
        <v>5190</v>
      </c>
      <c r="L64" s="38" t="str">
        <f>IF(tblWaste[[#This Row],[Date]]="","",IFERROR(INDEX(tblRoutes[Class],MATCH(tblWaste[[#This Row],[Route]],tblRoutes[Route],0)),""))</f>
        <v>Material recovery</v>
      </c>
      <c r="M64" s="38" t="str">
        <f>IF(tblWaste[[#This Row],[Date]]="","",IFERROR(INDEX(tblStreams[Hazardous],MATCH(tblWaste[[#This Row],[Stream]],tblStreams[Stream],0)),""))</f>
        <v>No</v>
      </c>
      <c r="N64" s="37">
        <f>IF(tblWaste[[#This Row],[Date]]="","",IF(OR(tblWaste[[#This Row],[Weight (kg)]]="",tblWaste[[#This Row],[Class]]=""),"",IF(OR(tblWaste[[#This Row],[Class]]="Material recovery",AND(tblWaste[[#This Row],[Class]]="Energy recovery",CountER="Yes")),tblWaste[[#This Row],[Weight (kg)]],0)))</f>
        <v>5190</v>
      </c>
      <c r="O64" s="30">
        <f>IF(tblWaste[[#This Row],[Date]]="","",N(tblWaste[[#This Row],[Charge]])-N(tblWaste[[#This Row],[Rebate]]))</f>
        <v>-321.78</v>
      </c>
      <c r="P64" s="39">
        <f>IF(tblWaste[[#This Row],[Date]]="","",IF(AND(tblWaste[[#This Row],[Date]]&gt;=FFrom,tblWaste[[#This Row],[Date]]&lt;=FTo),tblWaste[[#This Row],[Date]],""))</f>
        <v>46040</v>
      </c>
      <c r="Q6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64" s="28" t="s">
        <v>86</v>
      </c>
    </row>
    <row r="65" spans="2:18">
      <c r="B65" s="35">
        <v>46042</v>
      </c>
      <c r="C65" s="28" t="s">
        <v>195</v>
      </c>
      <c r="D65" s="28" t="s">
        <v>100</v>
      </c>
      <c r="E65" s="28" t="s">
        <v>118</v>
      </c>
      <c r="F65" s="28" t="s">
        <v>136</v>
      </c>
      <c r="G65" s="36">
        <v>2320</v>
      </c>
      <c r="H65" s="28" t="s">
        <v>77</v>
      </c>
      <c r="I65" s="36">
        <v>318.76</v>
      </c>
      <c r="J65" s="36">
        <v>0</v>
      </c>
      <c r="K65" s="37">
        <f>IF(tblWaste[[#This Row],[Date]]="","",IF(tblWaste[[#This Row],[Unit]]="kg",tblWaste[[#This Row],[Weight]],IF(tblWaste[[#This Row],[Unit]]="t",tblWaste[[#This Row],[Weight]]*1000,IF(tblWaste[[#This Row],[Unit]]="lb",tblWaste[[#This Row],[Weight]]*0.45359237,IF(tblWaste[[#This Row],[Unit]]="US ton",tblWaste[[#This Row],[Weight]]*907.18474,"")))))</f>
        <v>2320</v>
      </c>
      <c r="L65" s="38" t="str">
        <f>IF(tblWaste[[#This Row],[Date]]="","",IFERROR(INDEX(tblRoutes[Class],MATCH(tblWaste[[#This Row],[Route]],tblRoutes[Route],0)),""))</f>
        <v>Disposal</v>
      </c>
      <c r="M65" s="38" t="str">
        <f>IF(tblWaste[[#This Row],[Date]]="","",IFERROR(INDEX(tblStreams[Hazardous],MATCH(tblWaste[[#This Row],[Stream]],tblStreams[Stream],0)),""))</f>
        <v>No</v>
      </c>
      <c r="N65" s="37">
        <f>IF(tblWaste[[#This Row],[Date]]="","",IF(OR(tblWaste[[#This Row],[Weight (kg)]]="",tblWaste[[#This Row],[Class]]=""),"",IF(OR(tblWaste[[#This Row],[Class]]="Material recovery",AND(tblWaste[[#This Row],[Class]]="Energy recovery",CountER="Yes")),tblWaste[[#This Row],[Weight (kg)]],0)))</f>
        <v>0</v>
      </c>
      <c r="O65" s="30">
        <f>IF(tblWaste[[#This Row],[Date]]="","",N(tblWaste[[#This Row],[Charge]])-N(tblWaste[[#This Row],[Rebate]]))</f>
        <v>318.76</v>
      </c>
      <c r="P65" s="39">
        <f>IF(tblWaste[[#This Row],[Date]]="","",IF(AND(tblWaste[[#This Row],[Date]]&gt;=FFrom,tblWaste[[#This Row],[Date]]&lt;=FTo),tblWaste[[#This Row],[Date]],""))</f>
        <v>46042</v>
      </c>
      <c r="Q6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65" s="28" t="s">
        <v>86</v>
      </c>
    </row>
    <row r="66" spans="2:18">
      <c r="B66" s="35">
        <v>46047</v>
      </c>
      <c r="C66" s="28" t="s">
        <v>196</v>
      </c>
      <c r="D66" s="28" t="s">
        <v>81</v>
      </c>
      <c r="E66" s="28" t="s">
        <v>109</v>
      </c>
      <c r="F66" s="28" t="s">
        <v>133</v>
      </c>
      <c r="G66" s="36">
        <v>4.56</v>
      </c>
      <c r="H66" s="28" t="s">
        <v>75</v>
      </c>
      <c r="I66" s="36">
        <v>0</v>
      </c>
      <c r="J66" s="36">
        <v>282.72</v>
      </c>
      <c r="K66" s="37">
        <f>IF(tblWaste[[#This Row],[Date]]="","",IF(tblWaste[[#This Row],[Unit]]="kg",tblWaste[[#This Row],[Weight]],IF(tblWaste[[#This Row],[Unit]]="t",tblWaste[[#This Row],[Weight]]*1000,IF(tblWaste[[#This Row],[Unit]]="lb",tblWaste[[#This Row],[Weight]]*0.45359237,IF(tblWaste[[#This Row],[Unit]]="US ton",tblWaste[[#This Row],[Weight]]*907.18474,"")))))</f>
        <v>4560</v>
      </c>
      <c r="L66" s="38" t="str">
        <f>IF(tblWaste[[#This Row],[Date]]="","",IFERROR(INDEX(tblRoutes[Class],MATCH(tblWaste[[#This Row],[Route]],tblRoutes[Route],0)),""))</f>
        <v>Material recovery</v>
      </c>
      <c r="M66" s="38" t="str">
        <f>IF(tblWaste[[#This Row],[Date]]="","",IFERROR(INDEX(tblStreams[Hazardous],MATCH(tblWaste[[#This Row],[Stream]],tblStreams[Stream],0)),""))</f>
        <v>No</v>
      </c>
      <c r="N66" s="37">
        <f>IF(tblWaste[[#This Row],[Date]]="","",IF(OR(tblWaste[[#This Row],[Weight (kg)]]="",tblWaste[[#This Row],[Class]]=""),"",IF(OR(tblWaste[[#This Row],[Class]]="Material recovery",AND(tblWaste[[#This Row],[Class]]="Energy recovery",CountER="Yes")),tblWaste[[#This Row],[Weight (kg)]],0)))</f>
        <v>4560</v>
      </c>
      <c r="O66" s="30">
        <f>IF(tblWaste[[#This Row],[Date]]="","",N(tblWaste[[#This Row],[Charge]])-N(tblWaste[[#This Row],[Rebate]]))</f>
        <v>-282.72</v>
      </c>
      <c r="P66" s="39">
        <f>IF(tblWaste[[#This Row],[Date]]="","",IF(AND(tblWaste[[#This Row],[Date]]&gt;=FFrom,tblWaste[[#This Row],[Date]]&lt;=FTo),tblWaste[[#This Row],[Date]],""))</f>
        <v>46047</v>
      </c>
      <c r="Q6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66" s="28" t="s">
        <v>86</v>
      </c>
    </row>
    <row r="67" spans="2:18">
      <c r="B67" s="35">
        <v>46047</v>
      </c>
      <c r="C67" s="28" t="s">
        <v>197</v>
      </c>
      <c r="D67" s="28" t="s">
        <v>100</v>
      </c>
      <c r="E67" s="28" t="s">
        <v>118</v>
      </c>
      <c r="F67" s="28" t="s">
        <v>136</v>
      </c>
      <c r="G67" s="36">
        <v>2200</v>
      </c>
      <c r="H67" s="28" t="s">
        <v>77</v>
      </c>
      <c r="I67" s="36">
        <v>304.6</v>
      </c>
      <c r="J67" s="36">
        <v>0</v>
      </c>
      <c r="K67" s="37">
        <f>IF(tblWaste[[#This Row],[Date]]="","",IF(tblWaste[[#This Row],[Unit]]="kg",tblWaste[[#This Row],[Weight]],IF(tblWaste[[#This Row],[Unit]]="t",tblWaste[[#This Row],[Weight]]*1000,IF(tblWaste[[#This Row],[Unit]]="lb",tblWaste[[#This Row],[Weight]]*0.45359237,IF(tblWaste[[#This Row],[Unit]]="US ton",tblWaste[[#This Row],[Weight]]*907.18474,"")))))</f>
        <v>2200</v>
      </c>
      <c r="L67" s="38" t="str">
        <f>IF(tblWaste[[#This Row],[Date]]="","",IFERROR(INDEX(tblRoutes[Class],MATCH(tblWaste[[#This Row],[Route]],tblRoutes[Route],0)),""))</f>
        <v>Disposal</v>
      </c>
      <c r="M67" s="38" t="str">
        <f>IF(tblWaste[[#This Row],[Date]]="","",IFERROR(INDEX(tblStreams[Hazardous],MATCH(tblWaste[[#This Row],[Stream]],tblStreams[Stream],0)),""))</f>
        <v>No</v>
      </c>
      <c r="N67" s="37">
        <f>IF(tblWaste[[#This Row],[Date]]="","",IF(OR(tblWaste[[#This Row],[Weight (kg)]]="",tblWaste[[#This Row],[Class]]=""),"",IF(OR(tblWaste[[#This Row],[Class]]="Material recovery",AND(tblWaste[[#This Row],[Class]]="Energy recovery",CountER="Yes")),tblWaste[[#This Row],[Weight (kg)]],0)))</f>
        <v>0</v>
      </c>
      <c r="O67" s="30">
        <f>IF(tblWaste[[#This Row],[Date]]="","",N(tblWaste[[#This Row],[Charge]])-N(tblWaste[[#This Row],[Rebate]]))</f>
        <v>304.6</v>
      </c>
      <c r="P67" s="39">
        <f>IF(tblWaste[[#This Row],[Date]]="","",IF(AND(tblWaste[[#This Row],[Date]]&gt;=FFrom,tblWaste[[#This Row],[Date]]&lt;=FTo),tblWaste[[#This Row],[Date]],""))</f>
        <v>46047</v>
      </c>
      <c r="Q6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67" s="28" t="s">
        <v>86</v>
      </c>
    </row>
    <row r="68" spans="2:18">
      <c r="B68" s="35">
        <v>46057</v>
      </c>
      <c r="C68" s="28" t="s">
        <v>198</v>
      </c>
      <c r="D68" s="28" t="s">
        <v>97</v>
      </c>
      <c r="E68" s="28" t="s">
        <v>113</v>
      </c>
      <c r="F68" s="28" t="s">
        <v>154</v>
      </c>
      <c r="G68" s="36">
        <v>1450</v>
      </c>
      <c r="H68" s="28" t="s">
        <v>77</v>
      </c>
      <c r="I68" s="36">
        <v>973</v>
      </c>
      <c r="J68" s="36">
        <v>0</v>
      </c>
      <c r="K68" s="37">
        <f>IF(tblWaste[[#This Row],[Date]]="","",IF(tblWaste[[#This Row],[Unit]]="kg",tblWaste[[#This Row],[Weight]],IF(tblWaste[[#This Row],[Unit]]="t",tblWaste[[#This Row],[Weight]]*1000,IF(tblWaste[[#This Row],[Unit]]="lb",tblWaste[[#This Row],[Weight]]*0.45359237,IF(tblWaste[[#This Row],[Unit]]="US ton",tblWaste[[#This Row],[Weight]]*907.18474,"")))))</f>
        <v>1450</v>
      </c>
      <c r="L68" s="38" t="str">
        <f>IF(tblWaste[[#This Row],[Date]]="","",IFERROR(INDEX(tblRoutes[Class],MATCH(tblWaste[[#This Row],[Route]],tblRoutes[Route],0)),""))</f>
        <v>Energy recovery</v>
      </c>
      <c r="M68" s="38" t="str">
        <f>IF(tblWaste[[#This Row],[Date]]="","",IFERROR(INDEX(tblStreams[Hazardous],MATCH(tblWaste[[#This Row],[Stream]],tblStreams[Stream],0)),""))</f>
        <v>Yes</v>
      </c>
      <c r="N68" s="37">
        <f>IF(tblWaste[[#This Row],[Date]]="","",IF(OR(tblWaste[[#This Row],[Weight (kg)]]="",tblWaste[[#This Row],[Class]]=""),"",IF(OR(tblWaste[[#This Row],[Class]]="Material recovery",AND(tblWaste[[#This Row],[Class]]="Energy recovery",CountER="Yes")),tblWaste[[#This Row],[Weight (kg)]],0)))</f>
        <v>1450</v>
      </c>
      <c r="O68" s="30">
        <f>IF(tblWaste[[#This Row],[Date]]="","",N(tblWaste[[#This Row],[Charge]])-N(tblWaste[[#This Row],[Rebate]]))</f>
        <v>973</v>
      </c>
      <c r="P68" s="39">
        <f>IF(tblWaste[[#This Row],[Date]]="","",IF(AND(tblWaste[[#This Row],[Date]]&gt;=FFrom,tblWaste[[#This Row],[Date]]&lt;=FTo),tblWaste[[#This Row],[Date]],""))</f>
        <v>46057</v>
      </c>
      <c r="Q6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68" s="28" t="s">
        <v>86</v>
      </c>
    </row>
    <row r="69" spans="2:18">
      <c r="B69" s="35">
        <v>46057</v>
      </c>
      <c r="C69" s="28" t="s">
        <v>199</v>
      </c>
      <c r="D69" s="28" t="s">
        <v>100</v>
      </c>
      <c r="E69" s="28" t="s">
        <v>118</v>
      </c>
      <c r="F69" s="28" t="s">
        <v>136</v>
      </c>
      <c r="G69" s="36">
        <v>2050</v>
      </c>
      <c r="H69" s="28" t="s">
        <v>77</v>
      </c>
      <c r="I69" s="36">
        <v>286.9</v>
      </c>
      <c r="J69" s="36">
        <v>0</v>
      </c>
      <c r="K69" s="37">
        <f>IF(tblWaste[[#This Row],[Date]]="","",IF(tblWaste[[#This Row],[Unit]]="kg",tblWaste[[#This Row],[Weight]],IF(tblWaste[[#This Row],[Unit]]="t",tblWaste[[#This Row],[Weight]]*1000,IF(tblWaste[[#This Row],[Unit]]="lb",tblWaste[[#This Row],[Weight]]*0.45359237,IF(tblWaste[[#This Row],[Unit]]="US ton",tblWaste[[#This Row],[Weight]]*907.18474,"")))))</f>
        <v>2050</v>
      </c>
      <c r="L69" s="38" t="str">
        <f>IF(tblWaste[[#This Row],[Date]]="","",IFERROR(INDEX(tblRoutes[Class],MATCH(tblWaste[[#This Row],[Route]],tblRoutes[Route],0)),""))</f>
        <v>Disposal</v>
      </c>
      <c r="M69" s="38" t="str">
        <f>IF(tblWaste[[#This Row],[Date]]="","",IFERROR(INDEX(tblStreams[Hazardous],MATCH(tblWaste[[#This Row],[Stream]],tblStreams[Stream],0)),""))</f>
        <v>No</v>
      </c>
      <c r="N69" s="37">
        <f>IF(tblWaste[[#This Row],[Date]]="","",IF(OR(tblWaste[[#This Row],[Weight (kg)]]="",tblWaste[[#This Row],[Class]]=""),"",IF(OR(tblWaste[[#This Row],[Class]]="Material recovery",AND(tblWaste[[#This Row],[Class]]="Energy recovery",CountER="Yes")),tblWaste[[#This Row],[Weight (kg)]],0)))</f>
        <v>0</v>
      </c>
      <c r="O69" s="30">
        <f>IF(tblWaste[[#This Row],[Date]]="","",N(tblWaste[[#This Row],[Charge]])-N(tblWaste[[#This Row],[Rebate]]))</f>
        <v>286.9</v>
      </c>
      <c r="P69" s="39">
        <f>IF(tblWaste[[#This Row],[Date]]="","",IF(AND(tblWaste[[#This Row],[Date]]&gt;=FFrom,tblWaste[[#This Row],[Date]]&lt;=FTo),tblWaste[[#This Row],[Date]],""))</f>
        <v>46057</v>
      </c>
      <c r="Q6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69" s="28" t="s">
        <v>86</v>
      </c>
    </row>
    <row r="70" spans="2:18">
      <c r="B70" s="35">
        <v>46058</v>
      </c>
      <c r="C70" s="28" t="s">
        <v>200</v>
      </c>
      <c r="D70" s="28" t="s">
        <v>81</v>
      </c>
      <c r="E70" s="28" t="s">
        <v>109</v>
      </c>
      <c r="F70" s="28" t="s">
        <v>133</v>
      </c>
      <c r="G70" s="36">
        <v>5.83</v>
      </c>
      <c r="H70" s="28" t="s">
        <v>75</v>
      </c>
      <c r="I70" s="36">
        <v>0</v>
      </c>
      <c r="J70" s="36">
        <v>361.46</v>
      </c>
      <c r="K70" s="37">
        <f>IF(tblWaste[[#This Row],[Date]]="","",IF(tblWaste[[#This Row],[Unit]]="kg",tblWaste[[#This Row],[Weight]],IF(tblWaste[[#This Row],[Unit]]="t",tblWaste[[#This Row],[Weight]]*1000,IF(tblWaste[[#This Row],[Unit]]="lb",tblWaste[[#This Row],[Weight]]*0.45359237,IF(tblWaste[[#This Row],[Unit]]="US ton",tblWaste[[#This Row],[Weight]]*907.18474,"")))))</f>
        <v>5830</v>
      </c>
      <c r="L70" s="38" t="str">
        <f>IF(tblWaste[[#This Row],[Date]]="","",IFERROR(INDEX(tblRoutes[Class],MATCH(tblWaste[[#This Row],[Route]],tblRoutes[Route],0)),""))</f>
        <v>Material recovery</v>
      </c>
      <c r="M70" s="38" t="str">
        <f>IF(tblWaste[[#This Row],[Date]]="","",IFERROR(INDEX(tblStreams[Hazardous],MATCH(tblWaste[[#This Row],[Stream]],tblStreams[Stream],0)),""))</f>
        <v>No</v>
      </c>
      <c r="N70" s="37">
        <f>IF(tblWaste[[#This Row],[Date]]="","",IF(OR(tblWaste[[#This Row],[Weight (kg)]]="",tblWaste[[#This Row],[Class]]=""),"",IF(OR(tblWaste[[#This Row],[Class]]="Material recovery",AND(tblWaste[[#This Row],[Class]]="Energy recovery",CountER="Yes")),tblWaste[[#This Row],[Weight (kg)]],0)))</f>
        <v>5830</v>
      </c>
      <c r="O70" s="30">
        <f>IF(tblWaste[[#This Row],[Date]]="","",N(tblWaste[[#This Row],[Charge]])-N(tblWaste[[#This Row],[Rebate]]))</f>
        <v>-361.46</v>
      </c>
      <c r="P70" s="39">
        <f>IF(tblWaste[[#This Row],[Date]]="","",IF(AND(tblWaste[[#This Row],[Date]]&gt;=FFrom,tblWaste[[#This Row],[Date]]&lt;=FTo),tblWaste[[#This Row],[Date]],""))</f>
        <v>46058</v>
      </c>
      <c r="Q7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70" s="28" t="s">
        <v>86</v>
      </c>
    </row>
    <row r="71" spans="2:18">
      <c r="B71" s="35">
        <v>46058</v>
      </c>
      <c r="C71" s="28" t="s">
        <v>201</v>
      </c>
      <c r="D71" s="28" t="s">
        <v>87</v>
      </c>
      <c r="E71" s="28" t="s">
        <v>118</v>
      </c>
      <c r="F71" s="28" t="s">
        <v>136</v>
      </c>
      <c r="G71" s="36">
        <v>2860</v>
      </c>
      <c r="H71" s="28" t="s">
        <v>77</v>
      </c>
      <c r="I71" s="36">
        <v>382.48</v>
      </c>
      <c r="J71" s="36">
        <v>0</v>
      </c>
      <c r="K71" s="37">
        <f>IF(tblWaste[[#This Row],[Date]]="","",IF(tblWaste[[#This Row],[Unit]]="kg",tblWaste[[#This Row],[Weight]],IF(tblWaste[[#This Row],[Unit]]="t",tblWaste[[#This Row],[Weight]]*1000,IF(tblWaste[[#This Row],[Unit]]="lb",tblWaste[[#This Row],[Weight]]*0.45359237,IF(tblWaste[[#This Row],[Unit]]="US ton",tblWaste[[#This Row],[Weight]]*907.18474,"")))))</f>
        <v>2860</v>
      </c>
      <c r="L71" s="38" t="str">
        <f>IF(tblWaste[[#This Row],[Date]]="","",IFERROR(INDEX(tblRoutes[Class],MATCH(tblWaste[[#This Row],[Route]],tblRoutes[Route],0)),""))</f>
        <v>Disposal</v>
      </c>
      <c r="M71" s="38" t="str">
        <f>IF(tblWaste[[#This Row],[Date]]="","",IFERROR(INDEX(tblStreams[Hazardous],MATCH(tblWaste[[#This Row],[Stream]],tblStreams[Stream],0)),""))</f>
        <v>No</v>
      </c>
      <c r="N71" s="37">
        <f>IF(tblWaste[[#This Row],[Date]]="","",IF(OR(tblWaste[[#This Row],[Weight (kg)]]="",tblWaste[[#This Row],[Class]]=""),"",IF(OR(tblWaste[[#This Row],[Class]]="Material recovery",AND(tblWaste[[#This Row],[Class]]="Energy recovery",CountER="Yes")),tblWaste[[#This Row],[Weight (kg)]],0)))</f>
        <v>0</v>
      </c>
      <c r="O71" s="30">
        <f>IF(tblWaste[[#This Row],[Date]]="","",N(tblWaste[[#This Row],[Charge]])-N(tblWaste[[#This Row],[Rebate]]))</f>
        <v>382.48</v>
      </c>
      <c r="P71" s="39">
        <f>IF(tblWaste[[#This Row],[Date]]="","",IF(AND(tblWaste[[#This Row],[Date]]&gt;=FFrom,tblWaste[[#This Row],[Date]]&lt;=FTo),tblWaste[[#This Row],[Date]],""))</f>
        <v>46058</v>
      </c>
      <c r="Q7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71" s="28" t="s">
        <v>86</v>
      </c>
    </row>
    <row r="72" spans="2:18">
      <c r="B72" s="35">
        <v>46058</v>
      </c>
      <c r="C72" s="28" t="s">
        <v>202</v>
      </c>
      <c r="D72" s="28" t="s">
        <v>90</v>
      </c>
      <c r="E72" s="28" t="s">
        <v>106</v>
      </c>
      <c r="F72" s="28" t="s">
        <v>138</v>
      </c>
      <c r="G72" s="36">
        <v>1640</v>
      </c>
      <c r="H72" s="28" t="s">
        <v>77</v>
      </c>
      <c r="I72" s="36">
        <v>102.4</v>
      </c>
      <c r="J72" s="36">
        <v>0</v>
      </c>
      <c r="K72" s="37">
        <f>IF(tblWaste[[#This Row],[Date]]="","",IF(tblWaste[[#This Row],[Unit]]="kg",tblWaste[[#This Row],[Weight]],IF(tblWaste[[#This Row],[Unit]]="t",tblWaste[[#This Row],[Weight]]*1000,IF(tblWaste[[#This Row],[Unit]]="lb",tblWaste[[#This Row],[Weight]]*0.45359237,IF(tblWaste[[#This Row],[Unit]]="US ton",tblWaste[[#This Row],[Weight]]*907.18474,"")))))</f>
        <v>1640</v>
      </c>
      <c r="L72" s="38" t="str">
        <f>IF(tblWaste[[#This Row],[Date]]="","",IFERROR(INDEX(tblRoutes[Class],MATCH(tblWaste[[#This Row],[Route]],tblRoutes[Route],0)),""))</f>
        <v>Material recovery</v>
      </c>
      <c r="M72" s="38" t="str">
        <f>IF(tblWaste[[#This Row],[Date]]="","",IFERROR(INDEX(tblStreams[Hazardous],MATCH(tblWaste[[#This Row],[Stream]],tblStreams[Stream],0)),""))</f>
        <v>No</v>
      </c>
      <c r="N72" s="37">
        <f>IF(tblWaste[[#This Row],[Date]]="","",IF(OR(tblWaste[[#This Row],[Weight (kg)]]="",tblWaste[[#This Row],[Class]]=""),"",IF(OR(tblWaste[[#This Row],[Class]]="Material recovery",AND(tblWaste[[#This Row],[Class]]="Energy recovery",CountER="Yes")),tblWaste[[#This Row],[Weight (kg)]],0)))</f>
        <v>1640</v>
      </c>
      <c r="O72" s="30">
        <f>IF(tblWaste[[#This Row],[Date]]="","",N(tblWaste[[#This Row],[Charge]])-N(tblWaste[[#This Row],[Rebate]]))</f>
        <v>102.4</v>
      </c>
      <c r="P72" s="39">
        <f>IF(tblWaste[[#This Row],[Date]]="","",IF(AND(tblWaste[[#This Row],[Date]]&gt;=FFrom,tblWaste[[#This Row],[Date]]&lt;=FTo),tblWaste[[#This Row],[Date]],""))</f>
        <v>46058</v>
      </c>
      <c r="Q7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72" s="28" t="s">
        <v>86</v>
      </c>
    </row>
    <row r="73" spans="2:18">
      <c r="B73" s="35">
        <v>46058</v>
      </c>
      <c r="C73" s="28" t="s">
        <v>203</v>
      </c>
      <c r="D73" s="28" t="s">
        <v>95</v>
      </c>
      <c r="E73" s="28" t="s">
        <v>111</v>
      </c>
      <c r="F73" s="28" t="s">
        <v>136</v>
      </c>
      <c r="G73" s="36">
        <v>300</v>
      </c>
      <c r="H73" s="28" t="s">
        <v>77</v>
      </c>
      <c r="I73" s="36">
        <v>73.5</v>
      </c>
      <c r="J73" s="36">
        <v>0</v>
      </c>
      <c r="K73" s="37">
        <f>IF(tblWaste[[#This Row],[Date]]="","",IF(tblWaste[[#This Row],[Unit]]="kg",tblWaste[[#This Row],[Weight]],IF(tblWaste[[#This Row],[Unit]]="t",tblWaste[[#This Row],[Weight]]*1000,IF(tblWaste[[#This Row],[Unit]]="lb",tblWaste[[#This Row],[Weight]]*0.45359237,IF(tblWaste[[#This Row],[Unit]]="US ton",tblWaste[[#This Row],[Weight]]*907.18474,"")))))</f>
        <v>300</v>
      </c>
      <c r="L73" s="38" t="str">
        <f>IF(tblWaste[[#This Row],[Date]]="","",IFERROR(INDEX(tblRoutes[Class],MATCH(tblWaste[[#This Row],[Route]],tblRoutes[Route],0)),""))</f>
        <v>Material recovery</v>
      </c>
      <c r="M73" s="38" t="str">
        <f>IF(tblWaste[[#This Row],[Date]]="","",IFERROR(INDEX(tblStreams[Hazardous],MATCH(tblWaste[[#This Row],[Stream]],tblStreams[Stream],0)),""))</f>
        <v>No</v>
      </c>
      <c r="N73" s="37">
        <f>IF(tblWaste[[#This Row],[Date]]="","",IF(OR(tblWaste[[#This Row],[Weight (kg)]]="",tblWaste[[#This Row],[Class]]=""),"",IF(OR(tblWaste[[#This Row],[Class]]="Material recovery",AND(tblWaste[[#This Row],[Class]]="Energy recovery",CountER="Yes")),tblWaste[[#This Row],[Weight (kg)]],0)))</f>
        <v>300</v>
      </c>
      <c r="O73" s="30">
        <f>IF(tblWaste[[#This Row],[Date]]="","",N(tblWaste[[#This Row],[Charge]])-N(tblWaste[[#This Row],[Rebate]]))</f>
        <v>73.5</v>
      </c>
      <c r="P73" s="39">
        <f>IF(tblWaste[[#This Row],[Date]]="","",IF(AND(tblWaste[[#This Row],[Date]]&gt;=FFrom,tblWaste[[#This Row],[Date]]&lt;=FTo),tblWaste[[#This Row],[Date]],""))</f>
        <v>46058</v>
      </c>
      <c r="Q7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73" s="28" t="s">
        <v>86</v>
      </c>
    </row>
    <row r="74" spans="2:18">
      <c r="B74" s="35">
        <v>46059</v>
      </c>
      <c r="C74" s="28" t="s">
        <v>204</v>
      </c>
      <c r="D74" s="28" t="s">
        <v>85</v>
      </c>
      <c r="E74" s="28" t="s">
        <v>109</v>
      </c>
      <c r="F74" s="28" t="s">
        <v>133</v>
      </c>
      <c r="G74" s="36">
        <v>1030</v>
      </c>
      <c r="H74" s="28" t="s">
        <v>77</v>
      </c>
      <c r="I74" s="36">
        <v>0</v>
      </c>
      <c r="J74" s="36">
        <v>20.6</v>
      </c>
      <c r="K74" s="37">
        <f>IF(tblWaste[[#This Row],[Date]]="","",IF(tblWaste[[#This Row],[Unit]]="kg",tblWaste[[#This Row],[Weight]],IF(tblWaste[[#This Row],[Unit]]="t",tblWaste[[#This Row],[Weight]]*1000,IF(tblWaste[[#This Row],[Unit]]="lb",tblWaste[[#This Row],[Weight]]*0.45359237,IF(tblWaste[[#This Row],[Unit]]="US ton",tblWaste[[#This Row],[Weight]]*907.18474,"")))))</f>
        <v>1030</v>
      </c>
      <c r="L74" s="38" t="str">
        <f>IF(tblWaste[[#This Row],[Date]]="","",IFERROR(INDEX(tblRoutes[Class],MATCH(tblWaste[[#This Row],[Route]],tblRoutes[Route],0)),""))</f>
        <v>Material recovery</v>
      </c>
      <c r="M74" s="38" t="str">
        <f>IF(tblWaste[[#This Row],[Date]]="","",IFERROR(INDEX(tblStreams[Hazardous],MATCH(tblWaste[[#This Row],[Stream]],tblStreams[Stream],0)),""))</f>
        <v>No</v>
      </c>
      <c r="N74" s="37">
        <f>IF(tblWaste[[#This Row],[Date]]="","",IF(OR(tblWaste[[#This Row],[Weight (kg)]]="",tblWaste[[#This Row],[Class]]=""),"",IF(OR(tblWaste[[#This Row],[Class]]="Material recovery",AND(tblWaste[[#This Row],[Class]]="Energy recovery",CountER="Yes")),tblWaste[[#This Row],[Weight (kg)]],0)))</f>
        <v>1030</v>
      </c>
      <c r="O74" s="30">
        <f>IF(tblWaste[[#This Row],[Date]]="","",N(tblWaste[[#This Row],[Charge]])-N(tblWaste[[#This Row],[Rebate]]))</f>
        <v>-20.6</v>
      </c>
      <c r="P74" s="39">
        <f>IF(tblWaste[[#This Row],[Date]]="","",IF(AND(tblWaste[[#This Row],[Date]]&gt;=FFrom,tblWaste[[#This Row],[Date]]&lt;=FTo),tblWaste[[#This Row],[Date]],""))</f>
        <v>46059</v>
      </c>
      <c r="Q7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74" s="28" t="s">
        <v>86</v>
      </c>
    </row>
    <row r="75" spans="2:18">
      <c r="B75" s="35">
        <v>46059</v>
      </c>
      <c r="C75" s="28" t="s">
        <v>205</v>
      </c>
      <c r="D75" s="28" t="s">
        <v>93</v>
      </c>
      <c r="E75" s="28" t="s">
        <v>109</v>
      </c>
      <c r="F75" s="28" t="s">
        <v>140</v>
      </c>
      <c r="G75" s="36">
        <v>1020</v>
      </c>
      <c r="H75" s="28" t="s">
        <v>77</v>
      </c>
      <c r="I75" s="36">
        <v>0</v>
      </c>
      <c r="J75" s="36">
        <v>147.9</v>
      </c>
      <c r="K75" s="37">
        <f>IF(tblWaste[[#This Row],[Date]]="","",IF(tblWaste[[#This Row],[Unit]]="kg",tblWaste[[#This Row],[Weight]],IF(tblWaste[[#This Row],[Unit]]="t",tblWaste[[#This Row],[Weight]]*1000,IF(tblWaste[[#This Row],[Unit]]="lb",tblWaste[[#This Row],[Weight]]*0.45359237,IF(tblWaste[[#This Row],[Unit]]="US ton",tblWaste[[#This Row],[Weight]]*907.18474,"")))))</f>
        <v>1020</v>
      </c>
      <c r="L75" s="38" t="str">
        <f>IF(tblWaste[[#This Row],[Date]]="","",IFERROR(INDEX(tblRoutes[Class],MATCH(tblWaste[[#This Row],[Route]],tblRoutes[Route],0)),""))</f>
        <v>Material recovery</v>
      </c>
      <c r="M75" s="38" t="str">
        <f>IF(tblWaste[[#This Row],[Date]]="","",IFERROR(INDEX(tblStreams[Hazardous],MATCH(tblWaste[[#This Row],[Stream]],tblStreams[Stream],0)),""))</f>
        <v>No</v>
      </c>
      <c r="N75" s="37">
        <f>IF(tblWaste[[#This Row],[Date]]="","",IF(OR(tblWaste[[#This Row],[Weight (kg)]]="",tblWaste[[#This Row],[Class]]=""),"",IF(OR(tblWaste[[#This Row],[Class]]="Material recovery",AND(tblWaste[[#This Row],[Class]]="Energy recovery",CountER="Yes")),tblWaste[[#This Row],[Weight (kg)]],0)))</f>
        <v>1020</v>
      </c>
      <c r="O75" s="30">
        <f>IF(tblWaste[[#This Row],[Date]]="","",N(tblWaste[[#This Row],[Charge]])-N(tblWaste[[#This Row],[Rebate]]))</f>
        <v>-147.9</v>
      </c>
      <c r="P75" s="39">
        <f>IF(tblWaste[[#This Row],[Date]]="","",IF(AND(tblWaste[[#This Row],[Date]]&gt;=FFrom,tblWaste[[#This Row],[Date]]&lt;=FTo),tblWaste[[#This Row],[Date]],""))</f>
        <v>46059</v>
      </c>
      <c r="Q7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75" s="28" t="s">
        <v>86</v>
      </c>
    </row>
    <row r="76" spans="2:18">
      <c r="B76" s="35">
        <v>46063</v>
      </c>
      <c r="C76" s="28" t="s">
        <v>206</v>
      </c>
      <c r="D76" s="28" t="s">
        <v>81</v>
      </c>
      <c r="E76" s="28" t="s">
        <v>109</v>
      </c>
      <c r="F76" s="28" t="s">
        <v>133</v>
      </c>
      <c r="G76" s="36">
        <v>4.43</v>
      </c>
      <c r="H76" s="28" t="s">
        <v>75</v>
      </c>
      <c r="I76" s="36">
        <v>0</v>
      </c>
      <c r="J76" s="36">
        <v>274.66</v>
      </c>
      <c r="K76" s="37">
        <f>IF(tblWaste[[#This Row],[Date]]="","",IF(tblWaste[[#This Row],[Unit]]="kg",tblWaste[[#This Row],[Weight]],IF(tblWaste[[#This Row],[Unit]]="t",tblWaste[[#This Row],[Weight]]*1000,IF(tblWaste[[#This Row],[Unit]]="lb",tblWaste[[#This Row],[Weight]]*0.45359237,IF(tblWaste[[#This Row],[Unit]]="US ton",tblWaste[[#This Row],[Weight]]*907.18474,"")))))</f>
        <v>4430</v>
      </c>
      <c r="L76" s="38" t="str">
        <f>IF(tblWaste[[#This Row],[Date]]="","",IFERROR(INDEX(tblRoutes[Class],MATCH(tblWaste[[#This Row],[Route]],tblRoutes[Route],0)),""))</f>
        <v>Material recovery</v>
      </c>
      <c r="M76" s="38" t="str">
        <f>IF(tblWaste[[#This Row],[Date]]="","",IFERROR(INDEX(tblStreams[Hazardous],MATCH(tblWaste[[#This Row],[Stream]],tblStreams[Stream],0)),""))</f>
        <v>No</v>
      </c>
      <c r="N76" s="37">
        <f>IF(tblWaste[[#This Row],[Date]]="","",IF(OR(tblWaste[[#This Row],[Weight (kg)]]="",tblWaste[[#This Row],[Class]]=""),"",IF(OR(tblWaste[[#This Row],[Class]]="Material recovery",AND(tblWaste[[#This Row],[Class]]="Energy recovery",CountER="Yes")),tblWaste[[#This Row],[Weight (kg)]],0)))</f>
        <v>4430</v>
      </c>
      <c r="O76" s="30">
        <f>IF(tblWaste[[#This Row],[Date]]="","",N(tblWaste[[#This Row],[Charge]])-N(tblWaste[[#This Row],[Rebate]]))</f>
        <v>-274.66</v>
      </c>
      <c r="P76" s="39">
        <f>IF(tblWaste[[#This Row],[Date]]="","",IF(AND(tblWaste[[#This Row],[Date]]&gt;=FFrom,tblWaste[[#This Row],[Date]]&lt;=FTo),tblWaste[[#This Row],[Date]],""))</f>
        <v>46063</v>
      </c>
      <c r="Q7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76" s="28" t="s">
        <v>86</v>
      </c>
    </row>
    <row r="77" spans="2:18">
      <c r="B77" s="35">
        <v>46063</v>
      </c>
      <c r="C77" s="28" t="s">
        <v>207</v>
      </c>
      <c r="D77" s="28" t="s">
        <v>87</v>
      </c>
      <c r="E77" s="28" t="s">
        <v>118</v>
      </c>
      <c r="F77" s="28" t="s">
        <v>136</v>
      </c>
      <c r="G77" s="36">
        <v>2510</v>
      </c>
      <c r="H77" s="28" t="s">
        <v>77</v>
      </c>
      <c r="I77" s="36">
        <v>341.18</v>
      </c>
      <c r="J77" s="36">
        <v>0</v>
      </c>
      <c r="K77" s="37">
        <f>IF(tblWaste[[#This Row],[Date]]="","",IF(tblWaste[[#This Row],[Unit]]="kg",tblWaste[[#This Row],[Weight]],IF(tblWaste[[#This Row],[Unit]]="t",tblWaste[[#This Row],[Weight]]*1000,IF(tblWaste[[#This Row],[Unit]]="lb",tblWaste[[#This Row],[Weight]]*0.45359237,IF(tblWaste[[#This Row],[Unit]]="US ton",tblWaste[[#This Row],[Weight]]*907.18474,"")))))</f>
        <v>2510</v>
      </c>
      <c r="L77" s="38" t="str">
        <f>IF(tblWaste[[#This Row],[Date]]="","",IFERROR(INDEX(tblRoutes[Class],MATCH(tblWaste[[#This Row],[Route]],tblRoutes[Route],0)),""))</f>
        <v>Disposal</v>
      </c>
      <c r="M77" s="38" t="str">
        <f>IF(tblWaste[[#This Row],[Date]]="","",IFERROR(INDEX(tblStreams[Hazardous],MATCH(tblWaste[[#This Row],[Stream]],tblStreams[Stream],0)),""))</f>
        <v>No</v>
      </c>
      <c r="N77" s="37">
        <f>IF(tblWaste[[#This Row],[Date]]="","",IF(OR(tblWaste[[#This Row],[Weight (kg)]]="",tblWaste[[#This Row],[Class]]=""),"",IF(OR(tblWaste[[#This Row],[Class]]="Material recovery",AND(tblWaste[[#This Row],[Class]]="Energy recovery",CountER="Yes")),tblWaste[[#This Row],[Weight (kg)]],0)))</f>
        <v>0</v>
      </c>
      <c r="O77" s="30">
        <f>IF(tblWaste[[#This Row],[Date]]="","",N(tblWaste[[#This Row],[Charge]])-N(tblWaste[[#This Row],[Rebate]]))</f>
        <v>341.18</v>
      </c>
      <c r="P77" s="39">
        <f>IF(tblWaste[[#This Row],[Date]]="","",IF(AND(tblWaste[[#This Row],[Date]]&gt;=FFrom,tblWaste[[#This Row],[Date]]&lt;=FTo),tblWaste[[#This Row],[Date]],""))</f>
        <v>46063</v>
      </c>
      <c r="Q7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77" s="28" t="s">
        <v>86</v>
      </c>
    </row>
    <row r="78" spans="2:18">
      <c r="B78" s="35">
        <v>46064</v>
      </c>
      <c r="C78" s="28" t="s">
        <v>208</v>
      </c>
      <c r="D78" s="28" t="s">
        <v>100</v>
      </c>
      <c r="E78" s="28" t="s">
        <v>118</v>
      </c>
      <c r="F78" s="28" t="s">
        <v>136</v>
      </c>
      <c r="G78" s="36">
        <v>2600</v>
      </c>
      <c r="H78" s="28" t="s">
        <v>77</v>
      </c>
      <c r="I78" s="36">
        <v>351.8</v>
      </c>
      <c r="J78" s="36">
        <v>0</v>
      </c>
      <c r="K78" s="37">
        <f>IF(tblWaste[[#This Row],[Date]]="","",IF(tblWaste[[#This Row],[Unit]]="kg",tblWaste[[#This Row],[Weight]],IF(tblWaste[[#This Row],[Unit]]="t",tblWaste[[#This Row],[Weight]]*1000,IF(tblWaste[[#This Row],[Unit]]="lb",tblWaste[[#This Row],[Weight]]*0.45359237,IF(tblWaste[[#This Row],[Unit]]="US ton",tblWaste[[#This Row],[Weight]]*907.18474,"")))))</f>
        <v>2600</v>
      </c>
      <c r="L78" s="38" t="str">
        <f>IF(tblWaste[[#This Row],[Date]]="","",IFERROR(INDEX(tblRoutes[Class],MATCH(tblWaste[[#This Row],[Route]],tblRoutes[Route],0)),""))</f>
        <v>Disposal</v>
      </c>
      <c r="M78" s="38" t="str">
        <f>IF(tblWaste[[#This Row],[Date]]="","",IFERROR(INDEX(tblStreams[Hazardous],MATCH(tblWaste[[#This Row],[Stream]],tblStreams[Stream],0)),""))</f>
        <v>No</v>
      </c>
      <c r="N78" s="37">
        <f>IF(tblWaste[[#This Row],[Date]]="","",IF(OR(tblWaste[[#This Row],[Weight (kg)]]="",tblWaste[[#This Row],[Class]]=""),"",IF(OR(tblWaste[[#This Row],[Class]]="Material recovery",AND(tblWaste[[#This Row],[Class]]="Energy recovery",CountER="Yes")),tblWaste[[#This Row],[Weight (kg)]],0)))</f>
        <v>0</v>
      </c>
      <c r="O78" s="30">
        <f>IF(tblWaste[[#This Row],[Date]]="","",N(tblWaste[[#This Row],[Charge]])-N(tblWaste[[#This Row],[Rebate]]))</f>
        <v>351.8</v>
      </c>
      <c r="P78" s="39">
        <f>IF(tblWaste[[#This Row],[Date]]="","",IF(AND(tblWaste[[#This Row],[Date]]&gt;=FFrom,tblWaste[[#This Row],[Date]]&lt;=FTo),tblWaste[[#This Row],[Date]],""))</f>
        <v>46064</v>
      </c>
      <c r="Q7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78" s="28" t="s">
        <v>86</v>
      </c>
    </row>
    <row r="79" spans="2:18">
      <c r="B79" s="35">
        <v>46065</v>
      </c>
      <c r="C79" s="28" t="s">
        <v>209</v>
      </c>
      <c r="D79" s="28" t="s">
        <v>95</v>
      </c>
      <c r="E79" s="28" t="s">
        <v>111</v>
      </c>
      <c r="F79" s="28" t="s">
        <v>136</v>
      </c>
      <c r="G79" s="36">
        <v>280</v>
      </c>
      <c r="H79" s="28" t="s">
        <v>77</v>
      </c>
      <c r="I79" s="36">
        <v>71.59999999999999</v>
      </c>
      <c r="J79" s="36">
        <v>0</v>
      </c>
      <c r="K79" s="37">
        <f>IF(tblWaste[[#This Row],[Date]]="","",IF(tblWaste[[#This Row],[Unit]]="kg",tblWaste[[#This Row],[Weight]],IF(tblWaste[[#This Row],[Unit]]="t",tblWaste[[#This Row],[Weight]]*1000,IF(tblWaste[[#This Row],[Unit]]="lb",tblWaste[[#This Row],[Weight]]*0.45359237,IF(tblWaste[[#This Row],[Unit]]="US ton",tblWaste[[#This Row],[Weight]]*907.18474,"")))))</f>
        <v>280</v>
      </c>
      <c r="L79" s="38" t="str">
        <f>IF(tblWaste[[#This Row],[Date]]="","",IFERROR(INDEX(tblRoutes[Class],MATCH(tblWaste[[#This Row],[Route]],tblRoutes[Route],0)),""))</f>
        <v>Material recovery</v>
      </c>
      <c r="M79" s="38" t="str">
        <f>IF(tblWaste[[#This Row],[Date]]="","",IFERROR(INDEX(tblStreams[Hazardous],MATCH(tblWaste[[#This Row],[Stream]],tblStreams[Stream],0)),""))</f>
        <v>No</v>
      </c>
      <c r="N79" s="37">
        <f>IF(tblWaste[[#This Row],[Date]]="","",IF(OR(tblWaste[[#This Row],[Weight (kg)]]="",tblWaste[[#This Row],[Class]]=""),"",IF(OR(tblWaste[[#This Row],[Class]]="Material recovery",AND(tblWaste[[#This Row],[Class]]="Energy recovery",CountER="Yes")),tblWaste[[#This Row],[Weight (kg)]],0)))</f>
        <v>280</v>
      </c>
      <c r="O79" s="30">
        <f>IF(tblWaste[[#This Row],[Date]]="","",N(tblWaste[[#This Row],[Charge]])-N(tblWaste[[#This Row],[Rebate]]))</f>
        <v>71.6</v>
      </c>
      <c r="P79" s="39">
        <f>IF(tblWaste[[#This Row],[Date]]="","",IF(AND(tblWaste[[#This Row],[Date]]&gt;=FFrom,tblWaste[[#This Row],[Date]]&lt;=FTo),tblWaste[[#This Row],[Date]],""))</f>
        <v>46065</v>
      </c>
      <c r="Q7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79" s="28" t="s">
        <v>86</v>
      </c>
    </row>
    <row r="80" spans="2:18">
      <c r="B80" s="35">
        <v>46070</v>
      </c>
      <c r="C80" s="28" t="s">
        <v>210</v>
      </c>
      <c r="D80" s="28" t="s">
        <v>81</v>
      </c>
      <c r="E80" s="28" t="s">
        <v>109</v>
      </c>
      <c r="F80" s="28" t="s">
        <v>133</v>
      </c>
      <c r="G80" s="36">
        <v>4.79</v>
      </c>
      <c r="H80" s="28" t="s">
        <v>75</v>
      </c>
      <c r="I80" s="36">
        <v>0</v>
      </c>
      <c r="J80" s="36">
        <v>296.98</v>
      </c>
      <c r="K80" s="37">
        <f>IF(tblWaste[[#This Row],[Date]]="","",IF(tblWaste[[#This Row],[Unit]]="kg",tblWaste[[#This Row],[Weight]],IF(tblWaste[[#This Row],[Unit]]="t",tblWaste[[#This Row],[Weight]]*1000,IF(tblWaste[[#This Row],[Unit]]="lb",tblWaste[[#This Row],[Weight]]*0.45359237,IF(tblWaste[[#This Row],[Unit]]="US ton",tblWaste[[#This Row],[Weight]]*907.18474,"")))))</f>
        <v>4790</v>
      </c>
      <c r="L80" s="38" t="str">
        <f>IF(tblWaste[[#This Row],[Date]]="","",IFERROR(INDEX(tblRoutes[Class],MATCH(tblWaste[[#This Row],[Route]],tblRoutes[Route],0)),""))</f>
        <v>Material recovery</v>
      </c>
      <c r="M80" s="38" t="str">
        <f>IF(tblWaste[[#This Row],[Date]]="","",IFERROR(INDEX(tblStreams[Hazardous],MATCH(tblWaste[[#This Row],[Stream]],tblStreams[Stream],0)),""))</f>
        <v>No</v>
      </c>
      <c r="N80" s="37">
        <f>IF(tblWaste[[#This Row],[Date]]="","",IF(OR(tblWaste[[#This Row],[Weight (kg)]]="",tblWaste[[#This Row],[Class]]=""),"",IF(OR(tblWaste[[#This Row],[Class]]="Material recovery",AND(tblWaste[[#This Row],[Class]]="Energy recovery",CountER="Yes")),tblWaste[[#This Row],[Weight (kg)]],0)))</f>
        <v>4790</v>
      </c>
      <c r="O80" s="30">
        <f>IF(tblWaste[[#This Row],[Date]]="","",N(tblWaste[[#This Row],[Charge]])-N(tblWaste[[#This Row],[Rebate]]))</f>
        <v>-296.98</v>
      </c>
      <c r="P80" s="39">
        <f>IF(tblWaste[[#This Row],[Date]]="","",IF(AND(tblWaste[[#This Row],[Date]]&gt;=FFrom,tblWaste[[#This Row],[Date]]&lt;=FTo),tblWaste[[#This Row],[Date]],""))</f>
        <v>46070</v>
      </c>
      <c r="Q8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80" s="28" t="s">
        <v>86</v>
      </c>
    </row>
    <row r="81" spans="2:18">
      <c r="B81" s="35">
        <v>46070</v>
      </c>
      <c r="C81" s="28" t="s">
        <v>211</v>
      </c>
      <c r="D81" s="28" t="s">
        <v>100</v>
      </c>
      <c r="E81" s="28" t="s">
        <v>118</v>
      </c>
      <c r="F81" s="28" t="s">
        <v>136</v>
      </c>
      <c r="G81" s="36">
        <v>2640</v>
      </c>
      <c r="H81" s="28" t="s">
        <v>77</v>
      </c>
      <c r="I81" s="36">
        <v>356.52</v>
      </c>
      <c r="J81" s="36">
        <v>0</v>
      </c>
      <c r="K81" s="37">
        <f>IF(tblWaste[[#This Row],[Date]]="","",IF(tblWaste[[#This Row],[Unit]]="kg",tblWaste[[#This Row],[Weight]],IF(tblWaste[[#This Row],[Unit]]="t",tblWaste[[#This Row],[Weight]]*1000,IF(tblWaste[[#This Row],[Unit]]="lb",tblWaste[[#This Row],[Weight]]*0.45359237,IF(tblWaste[[#This Row],[Unit]]="US ton",tblWaste[[#This Row],[Weight]]*907.18474,"")))))</f>
        <v>2640</v>
      </c>
      <c r="L81" s="38" t="str">
        <f>IF(tblWaste[[#This Row],[Date]]="","",IFERROR(INDEX(tblRoutes[Class],MATCH(tblWaste[[#This Row],[Route]],tblRoutes[Route],0)),""))</f>
        <v>Disposal</v>
      </c>
      <c r="M81" s="38" t="str">
        <f>IF(tblWaste[[#This Row],[Date]]="","",IFERROR(INDEX(tblStreams[Hazardous],MATCH(tblWaste[[#This Row],[Stream]],tblStreams[Stream],0)),""))</f>
        <v>No</v>
      </c>
      <c r="N81" s="37">
        <f>IF(tblWaste[[#This Row],[Date]]="","",IF(OR(tblWaste[[#This Row],[Weight (kg)]]="",tblWaste[[#This Row],[Class]]=""),"",IF(OR(tblWaste[[#This Row],[Class]]="Material recovery",AND(tblWaste[[#This Row],[Class]]="Energy recovery",CountER="Yes")),tblWaste[[#This Row],[Weight (kg)]],0)))</f>
        <v>0</v>
      </c>
      <c r="O81" s="30">
        <f>IF(tblWaste[[#This Row],[Date]]="","",N(tblWaste[[#This Row],[Charge]])-N(tblWaste[[#This Row],[Rebate]]))</f>
        <v>356.52</v>
      </c>
      <c r="P81" s="39">
        <f>IF(tblWaste[[#This Row],[Date]]="","",IF(AND(tblWaste[[#This Row],[Date]]&gt;=FFrom,tblWaste[[#This Row],[Date]]&lt;=FTo),tblWaste[[#This Row],[Date]],""))</f>
        <v>46070</v>
      </c>
      <c r="Q8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81" s="28" t="s">
        <v>86</v>
      </c>
    </row>
    <row r="82" spans="2:18">
      <c r="B82" s="35">
        <v>46077</v>
      </c>
      <c r="C82" s="28" t="s">
        <v>212</v>
      </c>
      <c r="D82" s="28" t="s">
        <v>81</v>
      </c>
      <c r="E82" s="28" t="s">
        <v>109</v>
      </c>
      <c r="F82" s="28" t="s">
        <v>133</v>
      </c>
      <c r="G82" s="36">
        <v>4.96</v>
      </c>
      <c r="H82" s="28" t="s">
        <v>75</v>
      </c>
      <c r="I82" s="36">
        <v>0</v>
      </c>
      <c r="J82" s="36">
        <v>307.52</v>
      </c>
      <c r="K82" s="37">
        <f>IF(tblWaste[[#This Row],[Date]]="","",IF(tblWaste[[#This Row],[Unit]]="kg",tblWaste[[#This Row],[Weight]],IF(tblWaste[[#This Row],[Unit]]="t",tblWaste[[#This Row],[Weight]]*1000,IF(tblWaste[[#This Row],[Unit]]="lb",tblWaste[[#This Row],[Weight]]*0.45359237,IF(tblWaste[[#This Row],[Unit]]="US ton",tblWaste[[#This Row],[Weight]]*907.18474,"")))))</f>
        <v>4960</v>
      </c>
      <c r="L82" s="38" t="str">
        <f>IF(tblWaste[[#This Row],[Date]]="","",IFERROR(INDEX(tblRoutes[Class],MATCH(tblWaste[[#This Row],[Route]],tblRoutes[Route],0)),""))</f>
        <v>Material recovery</v>
      </c>
      <c r="M82" s="38" t="str">
        <f>IF(tblWaste[[#This Row],[Date]]="","",IFERROR(INDEX(tblStreams[Hazardous],MATCH(tblWaste[[#This Row],[Stream]],tblStreams[Stream],0)),""))</f>
        <v>No</v>
      </c>
      <c r="N82" s="37">
        <f>IF(tblWaste[[#This Row],[Date]]="","",IF(OR(tblWaste[[#This Row],[Weight (kg)]]="",tblWaste[[#This Row],[Class]]=""),"",IF(OR(tblWaste[[#This Row],[Class]]="Material recovery",AND(tblWaste[[#This Row],[Class]]="Energy recovery",CountER="Yes")),tblWaste[[#This Row],[Weight (kg)]],0)))</f>
        <v>4960</v>
      </c>
      <c r="O82" s="30">
        <f>IF(tblWaste[[#This Row],[Date]]="","",N(tblWaste[[#This Row],[Charge]])-N(tblWaste[[#This Row],[Rebate]]))</f>
        <v>-307.52</v>
      </c>
      <c r="P82" s="39">
        <f>IF(tblWaste[[#This Row],[Date]]="","",IF(AND(tblWaste[[#This Row],[Date]]&gt;=FFrom,tblWaste[[#This Row],[Date]]&lt;=FTo),tblWaste[[#This Row],[Date]],""))</f>
        <v>46077</v>
      </c>
      <c r="Q8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82" s="28" t="s">
        <v>86</v>
      </c>
    </row>
    <row r="83" spans="2:18">
      <c r="B83" s="35">
        <v>46078</v>
      </c>
      <c r="C83" s="28" t="s">
        <v>213</v>
      </c>
      <c r="D83" s="28" t="s">
        <v>100</v>
      </c>
      <c r="E83" s="28" t="s">
        <v>118</v>
      </c>
      <c r="F83" s="28" t="s">
        <v>136</v>
      </c>
      <c r="G83" s="36">
        <v>2610</v>
      </c>
      <c r="H83" s="28" t="s">
        <v>77</v>
      </c>
      <c r="I83" s="36">
        <v>352.98</v>
      </c>
      <c r="J83" s="36">
        <v>0</v>
      </c>
      <c r="K83" s="37">
        <f>IF(tblWaste[[#This Row],[Date]]="","",IF(tblWaste[[#This Row],[Unit]]="kg",tblWaste[[#This Row],[Weight]],IF(tblWaste[[#This Row],[Unit]]="t",tblWaste[[#This Row],[Weight]]*1000,IF(tblWaste[[#This Row],[Unit]]="lb",tblWaste[[#This Row],[Weight]]*0.45359237,IF(tblWaste[[#This Row],[Unit]]="US ton",tblWaste[[#This Row],[Weight]]*907.18474,"")))))</f>
        <v>2610</v>
      </c>
      <c r="L83" s="38" t="str">
        <f>IF(tblWaste[[#This Row],[Date]]="","",IFERROR(INDEX(tblRoutes[Class],MATCH(tblWaste[[#This Row],[Route]],tblRoutes[Route],0)),""))</f>
        <v>Disposal</v>
      </c>
      <c r="M83" s="38" t="str">
        <f>IF(tblWaste[[#This Row],[Date]]="","",IFERROR(INDEX(tblStreams[Hazardous],MATCH(tblWaste[[#This Row],[Stream]],tblStreams[Stream],0)),""))</f>
        <v>No</v>
      </c>
      <c r="N83" s="37">
        <f>IF(tblWaste[[#This Row],[Date]]="","",IF(OR(tblWaste[[#This Row],[Weight (kg)]]="",tblWaste[[#This Row],[Class]]=""),"",IF(OR(tblWaste[[#This Row],[Class]]="Material recovery",AND(tblWaste[[#This Row],[Class]]="Energy recovery",CountER="Yes")),tblWaste[[#This Row],[Weight (kg)]],0)))</f>
        <v>0</v>
      </c>
      <c r="O83" s="30">
        <f>IF(tblWaste[[#This Row],[Date]]="","",N(tblWaste[[#This Row],[Charge]])-N(tblWaste[[#This Row],[Rebate]]))</f>
        <v>352.98</v>
      </c>
      <c r="P83" s="39">
        <f>IF(tblWaste[[#This Row],[Date]]="","",IF(AND(tblWaste[[#This Row],[Date]]&gt;=FFrom,tblWaste[[#This Row],[Date]]&lt;=FTo),tblWaste[[#This Row],[Date]],""))</f>
        <v>46078</v>
      </c>
      <c r="Q8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83" s="28" t="s">
        <v>86</v>
      </c>
    </row>
    <row r="84" spans="2:18">
      <c r="B84" s="35">
        <v>46084</v>
      </c>
      <c r="C84" s="28" t="s">
        <v>214</v>
      </c>
      <c r="D84" s="28" t="s">
        <v>85</v>
      </c>
      <c r="E84" s="28" t="s">
        <v>109</v>
      </c>
      <c r="F84" s="28" t="s">
        <v>133</v>
      </c>
      <c r="G84" s="36">
        <v>860</v>
      </c>
      <c r="H84" s="28" t="s">
        <v>77</v>
      </c>
      <c r="I84" s="36">
        <v>0</v>
      </c>
      <c r="J84" s="36">
        <v>17.2</v>
      </c>
      <c r="K84" s="37">
        <f>IF(tblWaste[[#This Row],[Date]]="","",IF(tblWaste[[#This Row],[Unit]]="kg",tblWaste[[#This Row],[Weight]],IF(tblWaste[[#This Row],[Unit]]="t",tblWaste[[#This Row],[Weight]]*1000,IF(tblWaste[[#This Row],[Unit]]="lb",tblWaste[[#This Row],[Weight]]*0.45359237,IF(tblWaste[[#This Row],[Unit]]="US ton",tblWaste[[#This Row],[Weight]]*907.18474,"")))))</f>
        <v>860</v>
      </c>
      <c r="L84" s="38" t="str">
        <f>IF(tblWaste[[#This Row],[Date]]="","",IFERROR(INDEX(tblRoutes[Class],MATCH(tblWaste[[#This Row],[Route]],tblRoutes[Route],0)),""))</f>
        <v>Material recovery</v>
      </c>
      <c r="M84" s="38" t="str">
        <f>IF(tblWaste[[#This Row],[Date]]="","",IFERROR(INDEX(tblStreams[Hazardous],MATCH(tblWaste[[#This Row],[Stream]],tblStreams[Stream],0)),""))</f>
        <v>No</v>
      </c>
      <c r="N84" s="37">
        <f>IF(tblWaste[[#This Row],[Date]]="","",IF(OR(tblWaste[[#This Row],[Weight (kg)]]="",tblWaste[[#This Row],[Class]]=""),"",IF(OR(tblWaste[[#This Row],[Class]]="Material recovery",AND(tblWaste[[#This Row],[Class]]="Energy recovery",CountER="Yes")),tblWaste[[#This Row],[Weight (kg)]],0)))</f>
        <v>860</v>
      </c>
      <c r="O84" s="30">
        <f>IF(tblWaste[[#This Row],[Date]]="","",N(tblWaste[[#This Row],[Charge]])-N(tblWaste[[#This Row],[Rebate]]))</f>
        <v>-17.2</v>
      </c>
      <c r="P84" s="39">
        <f>IF(tblWaste[[#This Row],[Date]]="","",IF(AND(tblWaste[[#This Row],[Date]]&gt;=FFrom,tblWaste[[#This Row],[Date]]&lt;=FTo),tblWaste[[#This Row],[Date]],""))</f>
        <v>46084</v>
      </c>
      <c r="Q8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84" s="28" t="s">
        <v>86</v>
      </c>
    </row>
    <row r="85" spans="2:18">
      <c r="B85" s="35">
        <v>46085</v>
      </c>
      <c r="C85" s="28" t="s">
        <v>215</v>
      </c>
      <c r="D85" s="28" t="s">
        <v>90</v>
      </c>
      <c r="E85" s="28" t="s">
        <v>106</v>
      </c>
      <c r="F85" s="28" t="s">
        <v>138</v>
      </c>
      <c r="G85" s="36">
        <v>1840</v>
      </c>
      <c r="H85" s="28" t="s">
        <v>77</v>
      </c>
      <c r="I85" s="36">
        <v>109.4</v>
      </c>
      <c r="J85" s="36">
        <v>0</v>
      </c>
      <c r="K85" s="37">
        <f>IF(tblWaste[[#This Row],[Date]]="","",IF(tblWaste[[#This Row],[Unit]]="kg",tblWaste[[#This Row],[Weight]],IF(tblWaste[[#This Row],[Unit]]="t",tblWaste[[#This Row],[Weight]]*1000,IF(tblWaste[[#This Row],[Unit]]="lb",tblWaste[[#This Row],[Weight]]*0.45359237,IF(tblWaste[[#This Row],[Unit]]="US ton",tblWaste[[#This Row],[Weight]]*907.18474,"")))))</f>
        <v>1840</v>
      </c>
      <c r="L85" s="38" t="str">
        <f>IF(tblWaste[[#This Row],[Date]]="","",IFERROR(INDEX(tblRoutes[Class],MATCH(tblWaste[[#This Row],[Route]],tblRoutes[Route],0)),""))</f>
        <v>Material recovery</v>
      </c>
      <c r="M85" s="38" t="str">
        <f>IF(tblWaste[[#This Row],[Date]]="","",IFERROR(INDEX(tblStreams[Hazardous],MATCH(tblWaste[[#This Row],[Stream]],tblStreams[Stream],0)),""))</f>
        <v>No</v>
      </c>
      <c r="N85" s="37">
        <f>IF(tblWaste[[#This Row],[Date]]="","",IF(OR(tblWaste[[#This Row],[Weight (kg)]]="",tblWaste[[#This Row],[Class]]=""),"",IF(OR(tblWaste[[#This Row],[Class]]="Material recovery",AND(tblWaste[[#This Row],[Class]]="Energy recovery",CountER="Yes")),tblWaste[[#This Row],[Weight (kg)]],0)))</f>
        <v>1840</v>
      </c>
      <c r="O85" s="30">
        <f>IF(tblWaste[[#This Row],[Date]]="","",N(tblWaste[[#This Row],[Charge]])-N(tblWaste[[#This Row],[Rebate]]))</f>
        <v>109.4</v>
      </c>
      <c r="P85" s="39">
        <f>IF(tblWaste[[#This Row],[Date]]="","",IF(AND(tblWaste[[#This Row],[Date]]&gt;=FFrom,tblWaste[[#This Row],[Date]]&lt;=FTo),tblWaste[[#This Row],[Date]],""))</f>
        <v>46085</v>
      </c>
      <c r="Q8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85" s="28" t="s">
        <v>86</v>
      </c>
    </row>
    <row r="86" spans="2:18">
      <c r="B86" s="35">
        <v>46085</v>
      </c>
      <c r="C86" s="28" t="s">
        <v>216</v>
      </c>
      <c r="D86" s="28" t="s">
        <v>95</v>
      </c>
      <c r="E86" s="28" t="s">
        <v>111</v>
      </c>
      <c r="F86" s="28" t="s">
        <v>136</v>
      </c>
      <c r="G86" s="36">
        <v>300</v>
      </c>
      <c r="H86" s="28" t="s">
        <v>77</v>
      </c>
      <c r="I86" s="36">
        <v>73.5</v>
      </c>
      <c r="J86" s="36">
        <v>0</v>
      </c>
      <c r="K86" s="37">
        <f>IF(tblWaste[[#This Row],[Date]]="","",IF(tblWaste[[#This Row],[Unit]]="kg",tblWaste[[#This Row],[Weight]],IF(tblWaste[[#This Row],[Unit]]="t",tblWaste[[#This Row],[Weight]]*1000,IF(tblWaste[[#This Row],[Unit]]="lb",tblWaste[[#This Row],[Weight]]*0.45359237,IF(tblWaste[[#This Row],[Unit]]="US ton",tblWaste[[#This Row],[Weight]]*907.18474,"")))))</f>
        <v>300</v>
      </c>
      <c r="L86" s="38" t="str">
        <f>IF(tblWaste[[#This Row],[Date]]="","",IFERROR(INDEX(tblRoutes[Class],MATCH(tblWaste[[#This Row],[Route]],tblRoutes[Route],0)),""))</f>
        <v>Material recovery</v>
      </c>
      <c r="M86" s="38" t="str">
        <f>IF(tblWaste[[#This Row],[Date]]="","",IFERROR(INDEX(tblStreams[Hazardous],MATCH(tblWaste[[#This Row],[Stream]],tblStreams[Stream],0)),""))</f>
        <v>No</v>
      </c>
      <c r="N86" s="37">
        <f>IF(tblWaste[[#This Row],[Date]]="","",IF(OR(tblWaste[[#This Row],[Weight (kg)]]="",tblWaste[[#This Row],[Class]]=""),"",IF(OR(tblWaste[[#This Row],[Class]]="Material recovery",AND(tblWaste[[#This Row],[Class]]="Energy recovery",CountER="Yes")),tblWaste[[#This Row],[Weight (kg)]],0)))</f>
        <v>300</v>
      </c>
      <c r="O86" s="30">
        <f>IF(tblWaste[[#This Row],[Date]]="","",N(tblWaste[[#This Row],[Charge]])-N(tblWaste[[#This Row],[Rebate]]))</f>
        <v>73.5</v>
      </c>
      <c r="P86" s="39">
        <f>IF(tblWaste[[#This Row],[Date]]="","",IF(AND(tblWaste[[#This Row],[Date]]&gt;=FFrom,tblWaste[[#This Row],[Date]]&lt;=FTo),tblWaste[[#This Row],[Date]],""))</f>
        <v>46085</v>
      </c>
      <c r="Q8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86" s="28" t="s">
        <v>86</v>
      </c>
    </row>
    <row r="87" spans="2:18">
      <c r="B87" s="35">
        <v>46086</v>
      </c>
      <c r="C87" s="28" t="s">
        <v>217</v>
      </c>
      <c r="D87" s="28" t="s">
        <v>87</v>
      </c>
      <c r="E87" s="28" t="s">
        <v>118</v>
      </c>
      <c r="F87" s="28" t="s">
        <v>136</v>
      </c>
      <c r="G87" s="36">
        <v>2410</v>
      </c>
      <c r="H87" s="28" t="s">
        <v>77</v>
      </c>
      <c r="I87" s="36">
        <v>329.38</v>
      </c>
      <c r="J87" s="36">
        <v>0</v>
      </c>
      <c r="K87" s="37">
        <f>IF(tblWaste[[#This Row],[Date]]="","",IF(tblWaste[[#This Row],[Unit]]="kg",tblWaste[[#This Row],[Weight]],IF(tblWaste[[#This Row],[Unit]]="t",tblWaste[[#This Row],[Weight]]*1000,IF(tblWaste[[#This Row],[Unit]]="lb",tblWaste[[#This Row],[Weight]]*0.45359237,IF(tblWaste[[#This Row],[Unit]]="US ton",tblWaste[[#This Row],[Weight]]*907.18474,"")))))</f>
        <v>2410</v>
      </c>
      <c r="L87" s="38" t="str">
        <f>IF(tblWaste[[#This Row],[Date]]="","",IFERROR(INDEX(tblRoutes[Class],MATCH(tblWaste[[#This Row],[Route]],tblRoutes[Route],0)),""))</f>
        <v>Disposal</v>
      </c>
      <c r="M87" s="38" t="str">
        <f>IF(tblWaste[[#This Row],[Date]]="","",IFERROR(INDEX(tblStreams[Hazardous],MATCH(tblWaste[[#This Row],[Stream]],tblStreams[Stream],0)),""))</f>
        <v>No</v>
      </c>
      <c r="N87" s="37">
        <f>IF(tblWaste[[#This Row],[Date]]="","",IF(OR(tblWaste[[#This Row],[Weight (kg)]]="",tblWaste[[#This Row],[Class]]=""),"",IF(OR(tblWaste[[#This Row],[Class]]="Material recovery",AND(tblWaste[[#This Row],[Class]]="Energy recovery",CountER="Yes")),tblWaste[[#This Row],[Weight (kg)]],0)))</f>
        <v>0</v>
      </c>
      <c r="O87" s="30">
        <f>IF(tblWaste[[#This Row],[Date]]="","",N(tblWaste[[#This Row],[Charge]])-N(tblWaste[[#This Row],[Rebate]]))</f>
        <v>329.38</v>
      </c>
      <c r="P87" s="39">
        <f>IF(tblWaste[[#This Row],[Date]]="","",IF(AND(tblWaste[[#This Row],[Date]]&gt;=FFrom,tblWaste[[#This Row],[Date]]&lt;=FTo),tblWaste[[#This Row],[Date]],""))</f>
        <v>46086</v>
      </c>
      <c r="Q8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87" s="28" t="s">
        <v>86</v>
      </c>
    </row>
    <row r="88" spans="2:18">
      <c r="B88" s="35">
        <v>46087</v>
      </c>
      <c r="C88" s="28" t="s">
        <v>218</v>
      </c>
      <c r="D88" s="28" t="s">
        <v>81</v>
      </c>
      <c r="E88" s="28" t="s">
        <v>109</v>
      </c>
      <c r="F88" s="28" t="s">
        <v>133</v>
      </c>
      <c r="G88" s="36">
        <v>4.77</v>
      </c>
      <c r="H88" s="28" t="s">
        <v>75</v>
      </c>
      <c r="I88" s="36">
        <v>0</v>
      </c>
      <c r="J88" s="36">
        <v>295.74</v>
      </c>
      <c r="K88" s="37">
        <f>IF(tblWaste[[#This Row],[Date]]="","",IF(tblWaste[[#This Row],[Unit]]="kg",tblWaste[[#This Row],[Weight]],IF(tblWaste[[#This Row],[Unit]]="t",tblWaste[[#This Row],[Weight]]*1000,IF(tblWaste[[#This Row],[Unit]]="lb",tblWaste[[#This Row],[Weight]]*0.45359237,IF(tblWaste[[#This Row],[Unit]]="US ton",tblWaste[[#This Row],[Weight]]*907.18474,"")))))</f>
        <v>4770</v>
      </c>
      <c r="L88" s="38" t="str">
        <f>IF(tblWaste[[#This Row],[Date]]="","",IFERROR(INDEX(tblRoutes[Class],MATCH(tblWaste[[#This Row],[Route]],tblRoutes[Route],0)),""))</f>
        <v>Material recovery</v>
      </c>
      <c r="M88" s="38" t="str">
        <f>IF(tblWaste[[#This Row],[Date]]="","",IFERROR(INDEX(tblStreams[Hazardous],MATCH(tblWaste[[#This Row],[Stream]],tblStreams[Stream],0)),""))</f>
        <v>No</v>
      </c>
      <c r="N88" s="37">
        <f>IF(tblWaste[[#This Row],[Date]]="","",IF(OR(tblWaste[[#This Row],[Weight (kg)]]="",tblWaste[[#This Row],[Class]]=""),"",IF(OR(tblWaste[[#This Row],[Class]]="Material recovery",AND(tblWaste[[#This Row],[Class]]="Energy recovery",CountER="Yes")),tblWaste[[#This Row],[Weight (kg)]],0)))</f>
        <v>4770</v>
      </c>
      <c r="O88" s="30">
        <f>IF(tblWaste[[#This Row],[Date]]="","",N(tblWaste[[#This Row],[Charge]])-N(tblWaste[[#This Row],[Rebate]]))</f>
        <v>-295.74</v>
      </c>
      <c r="P88" s="39">
        <f>IF(tblWaste[[#This Row],[Date]]="","",IF(AND(tblWaste[[#This Row],[Date]]&gt;=FFrom,tblWaste[[#This Row],[Date]]&lt;=FTo),tblWaste[[#This Row],[Date]],""))</f>
        <v>46087</v>
      </c>
      <c r="Q8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88" s="28" t="s">
        <v>86</v>
      </c>
    </row>
    <row r="89" spans="2:18">
      <c r="B89" s="35">
        <v>46087</v>
      </c>
      <c r="C89" s="28" t="s">
        <v>219</v>
      </c>
      <c r="D89" s="28" t="s">
        <v>93</v>
      </c>
      <c r="E89" s="28" t="s">
        <v>109</v>
      </c>
      <c r="F89" s="28" t="s">
        <v>140</v>
      </c>
      <c r="G89" s="36">
        <v>1210</v>
      </c>
      <c r="H89" s="28" t="s">
        <v>77</v>
      </c>
      <c r="I89" s="36">
        <v>0</v>
      </c>
      <c r="J89" s="36">
        <v>175.45</v>
      </c>
      <c r="K89" s="37">
        <f>IF(tblWaste[[#This Row],[Date]]="","",IF(tblWaste[[#This Row],[Unit]]="kg",tblWaste[[#This Row],[Weight]],IF(tblWaste[[#This Row],[Unit]]="t",tblWaste[[#This Row],[Weight]]*1000,IF(tblWaste[[#This Row],[Unit]]="lb",tblWaste[[#This Row],[Weight]]*0.45359237,IF(tblWaste[[#This Row],[Unit]]="US ton",tblWaste[[#This Row],[Weight]]*907.18474,"")))))</f>
        <v>1210</v>
      </c>
      <c r="L89" s="38" t="str">
        <f>IF(tblWaste[[#This Row],[Date]]="","",IFERROR(INDEX(tblRoutes[Class],MATCH(tblWaste[[#This Row],[Route]],tblRoutes[Route],0)),""))</f>
        <v>Material recovery</v>
      </c>
      <c r="M89" s="38" t="str">
        <f>IF(tblWaste[[#This Row],[Date]]="","",IFERROR(INDEX(tblStreams[Hazardous],MATCH(tblWaste[[#This Row],[Stream]],tblStreams[Stream],0)),""))</f>
        <v>No</v>
      </c>
      <c r="N89" s="37">
        <f>IF(tblWaste[[#This Row],[Date]]="","",IF(OR(tblWaste[[#This Row],[Weight (kg)]]="",tblWaste[[#This Row],[Class]]=""),"",IF(OR(tblWaste[[#This Row],[Class]]="Material recovery",AND(tblWaste[[#This Row],[Class]]="Energy recovery",CountER="Yes")),tblWaste[[#This Row],[Weight (kg)]],0)))</f>
        <v>1210</v>
      </c>
      <c r="O89" s="30">
        <f>IF(tblWaste[[#This Row],[Date]]="","",N(tblWaste[[#This Row],[Charge]])-N(tblWaste[[#This Row],[Rebate]]))</f>
        <v>-175.45</v>
      </c>
      <c r="P89" s="39">
        <f>IF(tblWaste[[#This Row],[Date]]="","",IF(AND(tblWaste[[#This Row],[Date]]&gt;=FFrom,tblWaste[[#This Row],[Date]]&lt;=FTo),tblWaste[[#This Row],[Date]],""))</f>
        <v>46087</v>
      </c>
      <c r="Q8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89" s="28" t="s">
        <v>86</v>
      </c>
    </row>
    <row r="90" spans="2:18">
      <c r="B90" s="35">
        <v>46087</v>
      </c>
      <c r="C90" s="28" t="s">
        <v>220</v>
      </c>
      <c r="D90" s="28" t="s">
        <v>100</v>
      </c>
      <c r="E90" s="28" t="s">
        <v>118</v>
      </c>
      <c r="F90" s="28" t="s">
        <v>136</v>
      </c>
      <c r="G90" s="36">
        <v>2190</v>
      </c>
      <c r="H90" s="28" t="s">
        <v>77</v>
      </c>
      <c r="I90" s="36">
        <v>303.42</v>
      </c>
      <c r="J90" s="36">
        <v>0</v>
      </c>
      <c r="K90" s="37">
        <f>IF(tblWaste[[#This Row],[Date]]="","",IF(tblWaste[[#This Row],[Unit]]="kg",tblWaste[[#This Row],[Weight]],IF(tblWaste[[#This Row],[Unit]]="t",tblWaste[[#This Row],[Weight]]*1000,IF(tblWaste[[#This Row],[Unit]]="lb",tblWaste[[#This Row],[Weight]]*0.45359237,IF(tblWaste[[#This Row],[Unit]]="US ton",tblWaste[[#This Row],[Weight]]*907.18474,"")))))</f>
        <v>2190</v>
      </c>
      <c r="L90" s="38" t="str">
        <f>IF(tblWaste[[#This Row],[Date]]="","",IFERROR(INDEX(tblRoutes[Class],MATCH(tblWaste[[#This Row],[Route]],tblRoutes[Route],0)),""))</f>
        <v>Disposal</v>
      </c>
      <c r="M90" s="38" t="str">
        <f>IF(tblWaste[[#This Row],[Date]]="","",IFERROR(INDEX(tblStreams[Hazardous],MATCH(tblWaste[[#This Row],[Stream]],tblStreams[Stream],0)),""))</f>
        <v>No</v>
      </c>
      <c r="N90" s="37">
        <f>IF(tblWaste[[#This Row],[Date]]="","",IF(OR(tblWaste[[#This Row],[Weight (kg)]]="",tblWaste[[#This Row],[Class]]=""),"",IF(OR(tblWaste[[#This Row],[Class]]="Material recovery",AND(tblWaste[[#This Row],[Class]]="Energy recovery",CountER="Yes")),tblWaste[[#This Row],[Weight (kg)]],0)))</f>
        <v>0</v>
      </c>
      <c r="O90" s="30">
        <f>IF(tblWaste[[#This Row],[Date]]="","",N(tblWaste[[#This Row],[Charge]])-N(tblWaste[[#This Row],[Rebate]]))</f>
        <v>303.42</v>
      </c>
      <c r="P90" s="39">
        <f>IF(tblWaste[[#This Row],[Date]]="","",IF(AND(tblWaste[[#This Row],[Date]]&gt;=FFrom,tblWaste[[#This Row],[Date]]&lt;=FTo),tblWaste[[#This Row],[Date]],""))</f>
        <v>46087</v>
      </c>
      <c r="Q9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90" s="28" t="s">
        <v>86</v>
      </c>
    </row>
    <row r="91" spans="2:18">
      <c r="B91" s="35">
        <v>46092</v>
      </c>
      <c r="C91" s="28" t="s">
        <v>221</v>
      </c>
      <c r="D91" s="28" t="s">
        <v>81</v>
      </c>
      <c r="E91" s="28" t="s">
        <v>109</v>
      </c>
      <c r="F91" s="28" t="s">
        <v>133</v>
      </c>
      <c r="G91" s="36">
        <v>5.95</v>
      </c>
      <c r="H91" s="28" t="s">
        <v>75</v>
      </c>
      <c r="I91" s="36">
        <v>0</v>
      </c>
      <c r="J91" s="36">
        <v>368.9</v>
      </c>
      <c r="K91" s="37">
        <f>IF(tblWaste[[#This Row],[Date]]="","",IF(tblWaste[[#This Row],[Unit]]="kg",tblWaste[[#This Row],[Weight]],IF(tblWaste[[#This Row],[Unit]]="t",tblWaste[[#This Row],[Weight]]*1000,IF(tblWaste[[#This Row],[Unit]]="lb",tblWaste[[#This Row],[Weight]]*0.45359237,IF(tblWaste[[#This Row],[Unit]]="US ton",tblWaste[[#This Row],[Weight]]*907.18474,"")))))</f>
        <v>5950</v>
      </c>
      <c r="L91" s="38" t="str">
        <f>IF(tblWaste[[#This Row],[Date]]="","",IFERROR(INDEX(tblRoutes[Class],MATCH(tblWaste[[#This Row],[Route]],tblRoutes[Route],0)),""))</f>
        <v>Material recovery</v>
      </c>
      <c r="M91" s="38" t="str">
        <f>IF(tblWaste[[#This Row],[Date]]="","",IFERROR(INDEX(tblStreams[Hazardous],MATCH(tblWaste[[#This Row],[Stream]],tblStreams[Stream],0)),""))</f>
        <v>No</v>
      </c>
      <c r="N91" s="37">
        <f>IF(tblWaste[[#This Row],[Date]]="","",IF(OR(tblWaste[[#This Row],[Weight (kg)]]="",tblWaste[[#This Row],[Class]]=""),"",IF(OR(tblWaste[[#This Row],[Class]]="Material recovery",AND(tblWaste[[#This Row],[Class]]="Energy recovery",CountER="Yes")),tblWaste[[#This Row],[Weight (kg)]],0)))</f>
        <v>5950</v>
      </c>
      <c r="O91" s="30">
        <f>IF(tblWaste[[#This Row],[Date]]="","",N(tblWaste[[#This Row],[Charge]])-N(tblWaste[[#This Row],[Rebate]]))</f>
        <v>-368.9</v>
      </c>
      <c r="P91" s="39">
        <f>IF(tblWaste[[#This Row],[Date]]="","",IF(AND(tblWaste[[#This Row],[Date]]&gt;=FFrom,tblWaste[[#This Row],[Date]]&lt;=FTo),tblWaste[[#This Row],[Date]],""))</f>
        <v>46092</v>
      </c>
      <c r="Q9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91" s="28" t="s">
        <v>86</v>
      </c>
    </row>
    <row r="92" spans="2:18">
      <c r="B92" s="35">
        <v>46092</v>
      </c>
      <c r="C92" s="28" t="s">
        <v>222</v>
      </c>
      <c r="D92" s="28" t="s">
        <v>87</v>
      </c>
      <c r="E92" s="28" t="s">
        <v>118</v>
      </c>
      <c r="F92" s="28" t="s">
        <v>136</v>
      </c>
      <c r="G92" s="36">
        <v>2660</v>
      </c>
      <c r="H92" s="28" t="s">
        <v>77</v>
      </c>
      <c r="I92" s="36">
        <v>358.88</v>
      </c>
      <c r="J92" s="36">
        <v>0</v>
      </c>
      <c r="K92" s="37">
        <f>IF(tblWaste[[#This Row],[Date]]="","",IF(tblWaste[[#This Row],[Unit]]="kg",tblWaste[[#This Row],[Weight]],IF(tblWaste[[#This Row],[Unit]]="t",tblWaste[[#This Row],[Weight]]*1000,IF(tblWaste[[#This Row],[Unit]]="lb",tblWaste[[#This Row],[Weight]]*0.45359237,IF(tblWaste[[#This Row],[Unit]]="US ton",tblWaste[[#This Row],[Weight]]*907.18474,"")))))</f>
        <v>2660</v>
      </c>
      <c r="L92" s="38" t="str">
        <f>IF(tblWaste[[#This Row],[Date]]="","",IFERROR(INDEX(tblRoutes[Class],MATCH(tblWaste[[#This Row],[Route]],tblRoutes[Route],0)),""))</f>
        <v>Disposal</v>
      </c>
      <c r="M92" s="38" t="str">
        <f>IF(tblWaste[[#This Row],[Date]]="","",IFERROR(INDEX(tblStreams[Hazardous],MATCH(tblWaste[[#This Row],[Stream]],tblStreams[Stream],0)),""))</f>
        <v>No</v>
      </c>
      <c r="N92" s="37">
        <f>IF(tblWaste[[#This Row],[Date]]="","",IF(OR(tblWaste[[#This Row],[Weight (kg)]]="",tblWaste[[#This Row],[Class]]=""),"",IF(OR(tblWaste[[#This Row],[Class]]="Material recovery",AND(tblWaste[[#This Row],[Class]]="Energy recovery",CountER="Yes")),tblWaste[[#This Row],[Weight (kg)]],0)))</f>
        <v>0</v>
      </c>
      <c r="O92" s="30">
        <f>IF(tblWaste[[#This Row],[Date]]="","",N(tblWaste[[#This Row],[Charge]])-N(tblWaste[[#This Row],[Rebate]]))</f>
        <v>358.88</v>
      </c>
      <c r="P92" s="39">
        <f>IF(tblWaste[[#This Row],[Date]]="","",IF(AND(tblWaste[[#This Row],[Date]]&gt;=FFrom,tblWaste[[#This Row],[Date]]&lt;=FTo),tblWaste[[#This Row],[Date]],""))</f>
        <v>46092</v>
      </c>
      <c r="Q9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92" s="28" t="s">
        <v>86</v>
      </c>
    </row>
    <row r="93" spans="2:18">
      <c r="B93" s="35">
        <v>46092</v>
      </c>
      <c r="C93" s="28" t="s">
        <v>223</v>
      </c>
      <c r="D93" s="28" t="s">
        <v>95</v>
      </c>
      <c r="E93" s="28" t="s">
        <v>111</v>
      </c>
      <c r="F93" s="28" t="s">
        <v>136</v>
      </c>
      <c r="G93" s="36">
        <v>280</v>
      </c>
      <c r="H93" s="28" t="s">
        <v>77</v>
      </c>
      <c r="I93" s="36">
        <v>71.59999999999999</v>
      </c>
      <c r="J93" s="36">
        <v>0</v>
      </c>
      <c r="K93" s="37">
        <f>IF(tblWaste[[#This Row],[Date]]="","",IF(tblWaste[[#This Row],[Unit]]="kg",tblWaste[[#This Row],[Weight]],IF(tblWaste[[#This Row],[Unit]]="t",tblWaste[[#This Row],[Weight]]*1000,IF(tblWaste[[#This Row],[Unit]]="lb",tblWaste[[#This Row],[Weight]]*0.45359237,IF(tblWaste[[#This Row],[Unit]]="US ton",tblWaste[[#This Row],[Weight]]*907.18474,"")))))</f>
        <v>280</v>
      </c>
      <c r="L93" s="38" t="str">
        <f>IF(tblWaste[[#This Row],[Date]]="","",IFERROR(INDEX(tblRoutes[Class],MATCH(tblWaste[[#This Row],[Route]],tblRoutes[Route],0)),""))</f>
        <v>Material recovery</v>
      </c>
      <c r="M93" s="38" t="str">
        <f>IF(tblWaste[[#This Row],[Date]]="","",IFERROR(INDEX(tblStreams[Hazardous],MATCH(tblWaste[[#This Row],[Stream]],tblStreams[Stream],0)),""))</f>
        <v>No</v>
      </c>
      <c r="N93" s="37">
        <f>IF(tblWaste[[#This Row],[Date]]="","",IF(OR(tblWaste[[#This Row],[Weight (kg)]]="",tblWaste[[#This Row],[Class]]=""),"",IF(OR(tblWaste[[#This Row],[Class]]="Material recovery",AND(tblWaste[[#This Row],[Class]]="Energy recovery",CountER="Yes")),tblWaste[[#This Row],[Weight (kg)]],0)))</f>
        <v>280</v>
      </c>
      <c r="O93" s="30">
        <f>IF(tblWaste[[#This Row],[Date]]="","",N(tblWaste[[#This Row],[Charge]])-N(tblWaste[[#This Row],[Rebate]]))</f>
        <v>71.6</v>
      </c>
      <c r="P93" s="39">
        <f>IF(tblWaste[[#This Row],[Date]]="","",IF(AND(tblWaste[[#This Row],[Date]]&gt;=FFrom,tblWaste[[#This Row],[Date]]&lt;=FTo),tblWaste[[#This Row],[Date]],""))</f>
        <v>46092</v>
      </c>
      <c r="Q9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93" s="28" t="s">
        <v>86</v>
      </c>
    </row>
    <row r="94" spans="2:18">
      <c r="B94" s="35">
        <v>46092</v>
      </c>
      <c r="C94" s="28" t="s">
        <v>224</v>
      </c>
      <c r="D94" s="28" t="s">
        <v>100</v>
      </c>
      <c r="E94" s="28" t="s">
        <v>118</v>
      </c>
      <c r="F94" s="28" t="s">
        <v>136</v>
      </c>
      <c r="G94" s="36">
        <v>2480</v>
      </c>
      <c r="H94" s="28" t="s">
        <v>77</v>
      </c>
      <c r="I94" s="36">
        <v>337.64</v>
      </c>
      <c r="J94" s="36">
        <v>0</v>
      </c>
      <c r="K94" s="37">
        <f>IF(tblWaste[[#This Row],[Date]]="","",IF(tblWaste[[#This Row],[Unit]]="kg",tblWaste[[#This Row],[Weight]],IF(tblWaste[[#This Row],[Unit]]="t",tblWaste[[#This Row],[Weight]]*1000,IF(tblWaste[[#This Row],[Unit]]="lb",tblWaste[[#This Row],[Weight]]*0.45359237,IF(tblWaste[[#This Row],[Unit]]="US ton",tblWaste[[#This Row],[Weight]]*907.18474,"")))))</f>
        <v>2480</v>
      </c>
      <c r="L94" s="38" t="str">
        <f>IF(tblWaste[[#This Row],[Date]]="","",IFERROR(INDEX(tblRoutes[Class],MATCH(tblWaste[[#This Row],[Route]],tblRoutes[Route],0)),""))</f>
        <v>Disposal</v>
      </c>
      <c r="M94" s="38" t="str">
        <f>IF(tblWaste[[#This Row],[Date]]="","",IFERROR(INDEX(tblStreams[Hazardous],MATCH(tblWaste[[#This Row],[Stream]],tblStreams[Stream],0)),""))</f>
        <v>No</v>
      </c>
      <c r="N94" s="37">
        <f>IF(tblWaste[[#This Row],[Date]]="","",IF(OR(tblWaste[[#This Row],[Weight (kg)]]="",tblWaste[[#This Row],[Class]]=""),"",IF(OR(tblWaste[[#This Row],[Class]]="Material recovery",AND(tblWaste[[#This Row],[Class]]="Energy recovery",CountER="Yes")),tblWaste[[#This Row],[Weight (kg)]],0)))</f>
        <v>0</v>
      </c>
      <c r="O94" s="30">
        <f>IF(tblWaste[[#This Row],[Date]]="","",N(tblWaste[[#This Row],[Charge]])-N(tblWaste[[#This Row],[Rebate]]))</f>
        <v>337.64</v>
      </c>
      <c r="P94" s="39">
        <f>IF(tblWaste[[#This Row],[Date]]="","",IF(AND(tblWaste[[#This Row],[Date]]&gt;=FFrom,tblWaste[[#This Row],[Date]]&lt;=FTo),tblWaste[[#This Row],[Date]],""))</f>
        <v>46092</v>
      </c>
      <c r="Q9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94" s="28" t="s">
        <v>86</v>
      </c>
    </row>
    <row r="95" spans="2:18">
      <c r="B95" s="35">
        <v>46099</v>
      </c>
      <c r="C95" s="28" t="s">
        <v>225</v>
      </c>
      <c r="D95" s="28" t="s">
        <v>100</v>
      </c>
      <c r="E95" s="28" t="s">
        <v>118</v>
      </c>
      <c r="F95" s="28" t="s">
        <v>136</v>
      </c>
      <c r="G95" s="36">
        <v>2520</v>
      </c>
      <c r="H95" s="28" t="s">
        <v>77</v>
      </c>
      <c r="I95" s="36">
        <v>342.36</v>
      </c>
      <c r="J95" s="36">
        <v>0</v>
      </c>
      <c r="K95" s="37">
        <f>IF(tblWaste[[#This Row],[Date]]="","",IF(tblWaste[[#This Row],[Unit]]="kg",tblWaste[[#This Row],[Weight]],IF(tblWaste[[#This Row],[Unit]]="t",tblWaste[[#This Row],[Weight]]*1000,IF(tblWaste[[#This Row],[Unit]]="lb",tblWaste[[#This Row],[Weight]]*0.45359237,IF(tblWaste[[#This Row],[Unit]]="US ton",tblWaste[[#This Row],[Weight]]*907.18474,"")))))</f>
        <v>2520</v>
      </c>
      <c r="L95" s="38" t="str">
        <f>IF(tblWaste[[#This Row],[Date]]="","",IFERROR(INDEX(tblRoutes[Class],MATCH(tblWaste[[#This Row],[Route]],tblRoutes[Route],0)),""))</f>
        <v>Disposal</v>
      </c>
      <c r="M95" s="38" t="str">
        <f>IF(tblWaste[[#This Row],[Date]]="","",IFERROR(INDEX(tblStreams[Hazardous],MATCH(tblWaste[[#This Row],[Stream]],tblStreams[Stream],0)),""))</f>
        <v>No</v>
      </c>
      <c r="N95" s="37">
        <f>IF(tblWaste[[#This Row],[Date]]="","",IF(OR(tblWaste[[#This Row],[Weight (kg)]]="",tblWaste[[#This Row],[Class]]=""),"",IF(OR(tblWaste[[#This Row],[Class]]="Material recovery",AND(tblWaste[[#This Row],[Class]]="Energy recovery",CountER="Yes")),tblWaste[[#This Row],[Weight (kg)]],0)))</f>
        <v>0</v>
      </c>
      <c r="O95" s="30">
        <f>IF(tblWaste[[#This Row],[Date]]="","",N(tblWaste[[#This Row],[Charge]])-N(tblWaste[[#This Row],[Rebate]]))</f>
        <v>342.36</v>
      </c>
      <c r="P95" s="39">
        <f>IF(tblWaste[[#This Row],[Date]]="","",IF(AND(tblWaste[[#This Row],[Date]]&gt;=FFrom,tblWaste[[#This Row],[Date]]&lt;=FTo),tblWaste[[#This Row],[Date]],""))</f>
        <v>46099</v>
      </c>
      <c r="Q9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95" s="28" t="s">
        <v>86</v>
      </c>
    </row>
    <row r="96" spans="2:18">
      <c r="B96" s="35">
        <v>46100</v>
      </c>
      <c r="C96" s="28" t="s">
        <v>226</v>
      </c>
      <c r="D96" s="28" t="s">
        <v>81</v>
      </c>
      <c r="E96" s="28" t="s">
        <v>109</v>
      </c>
      <c r="F96" s="28" t="s">
        <v>133</v>
      </c>
      <c r="G96" s="36">
        <v>5.23</v>
      </c>
      <c r="H96" s="28" t="s">
        <v>75</v>
      </c>
      <c r="I96" s="36">
        <v>0</v>
      </c>
      <c r="J96" s="36">
        <v>324.26</v>
      </c>
      <c r="K96" s="37">
        <f>IF(tblWaste[[#This Row],[Date]]="","",IF(tblWaste[[#This Row],[Unit]]="kg",tblWaste[[#This Row],[Weight]],IF(tblWaste[[#This Row],[Unit]]="t",tblWaste[[#This Row],[Weight]]*1000,IF(tblWaste[[#This Row],[Unit]]="lb",tblWaste[[#This Row],[Weight]]*0.45359237,IF(tblWaste[[#This Row],[Unit]]="US ton",tblWaste[[#This Row],[Weight]]*907.18474,"")))))</f>
        <v>5230</v>
      </c>
      <c r="L96" s="38" t="str">
        <f>IF(tblWaste[[#This Row],[Date]]="","",IFERROR(INDEX(tblRoutes[Class],MATCH(tblWaste[[#This Row],[Route]],tblRoutes[Route],0)),""))</f>
        <v>Material recovery</v>
      </c>
      <c r="M96" s="38" t="str">
        <f>IF(tblWaste[[#This Row],[Date]]="","",IFERROR(INDEX(tblStreams[Hazardous],MATCH(tblWaste[[#This Row],[Stream]],tblStreams[Stream],0)),""))</f>
        <v>No</v>
      </c>
      <c r="N96" s="37">
        <f>IF(tblWaste[[#This Row],[Date]]="","",IF(OR(tblWaste[[#This Row],[Weight (kg)]]="",tblWaste[[#This Row],[Class]]=""),"",IF(OR(tblWaste[[#This Row],[Class]]="Material recovery",AND(tblWaste[[#This Row],[Class]]="Energy recovery",CountER="Yes")),tblWaste[[#This Row],[Weight (kg)]],0)))</f>
        <v>5230</v>
      </c>
      <c r="O96" s="30">
        <f>IF(tblWaste[[#This Row],[Date]]="","",N(tblWaste[[#This Row],[Charge]])-N(tblWaste[[#This Row],[Rebate]]))</f>
        <v>-324.26</v>
      </c>
      <c r="P96" s="39">
        <f>IF(tblWaste[[#This Row],[Date]]="","",IF(AND(tblWaste[[#This Row],[Date]]&gt;=FFrom,tblWaste[[#This Row],[Date]]&lt;=FTo),tblWaste[[#This Row],[Date]],""))</f>
        <v>46100</v>
      </c>
      <c r="Q9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96" s="28" t="s">
        <v>86</v>
      </c>
    </row>
    <row r="97" spans="2:18">
      <c r="B97" s="35">
        <v>46105</v>
      </c>
      <c r="C97" s="28" t="s">
        <v>227</v>
      </c>
      <c r="D97" s="28" t="s">
        <v>100</v>
      </c>
      <c r="E97" s="28" t="s">
        <v>118</v>
      </c>
      <c r="F97" s="28" t="s">
        <v>136</v>
      </c>
      <c r="G97" s="36">
        <v>2730</v>
      </c>
      <c r="H97" s="28" t="s">
        <v>77</v>
      </c>
      <c r="I97" s="36">
        <v>367.14</v>
      </c>
      <c r="J97" s="36">
        <v>0</v>
      </c>
      <c r="K97" s="37">
        <f>IF(tblWaste[[#This Row],[Date]]="","",IF(tblWaste[[#This Row],[Unit]]="kg",tblWaste[[#This Row],[Weight]],IF(tblWaste[[#This Row],[Unit]]="t",tblWaste[[#This Row],[Weight]]*1000,IF(tblWaste[[#This Row],[Unit]]="lb",tblWaste[[#This Row],[Weight]]*0.45359237,IF(tblWaste[[#This Row],[Unit]]="US ton",tblWaste[[#This Row],[Weight]]*907.18474,"")))))</f>
        <v>2730</v>
      </c>
      <c r="L97" s="38" t="str">
        <f>IF(tblWaste[[#This Row],[Date]]="","",IFERROR(INDEX(tblRoutes[Class],MATCH(tblWaste[[#This Row],[Route]],tblRoutes[Route],0)),""))</f>
        <v>Disposal</v>
      </c>
      <c r="M97" s="38" t="str">
        <f>IF(tblWaste[[#This Row],[Date]]="","",IFERROR(INDEX(tblStreams[Hazardous],MATCH(tblWaste[[#This Row],[Stream]],tblStreams[Stream],0)),""))</f>
        <v>No</v>
      </c>
      <c r="N97" s="37">
        <f>IF(tblWaste[[#This Row],[Date]]="","",IF(OR(tblWaste[[#This Row],[Weight (kg)]]="",tblWaste[[#This Row],[Class]]=""),"",IF(OR(tblWaste[[#This Row],[Class]]="Material recovery",AND(tblWaste[[#This Row],[Class]]="Energy recovery",CountER="Yes")),tblWaste[[#This Row],[Weight (kg)]],0)))</f>
        <v>0</v>
      </c>
      <c r="O97" s="30">
        <f>IF(tblWaste[[#This Row],[Date]]="","",N(tblWaste[[#This Row],[Charge]])-N(tblWaste[[#This Row],[Rebate]]))</f>
        <v>367.14</v>
      </c>
      <c r="P97" s="39">
        <f>IF(tblWaste[[#This Row],[Date]]="","",IF(AND(tblWaste[[#This Row],[Date]]&gt;=FFrom,tblWaste[[#This Row],[Date]]&lt;=FTo),tblWaste[[#This Row],[Date]],""))</f>
        <v>46105</v>
      </c>
      <c r="Q9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97" s="28" t="s">
        <v>86</v>
      </c>
    </row>
    <row r="98" spans="2:18">
      <c r="B98" s="35">
        <v>46107</v>
      </c>
      <c r="C98" s="28" t="s">
        <v>228</v>
      </c>
      <c r="D98" s="28" t="s">
        <v>81</v>
      </c>
      <c r="E98" s="28" t="s">
        <v>109</v>
      </c>
      <c r="F98" s="28" t="s">
        <v>133</v>
      </c>
      <c r="G98" s="36">
        <v>5.69</v>
      </c>
      <c r="H98" s="28" t="s">
        <v>75</v>
      </c>
      <c r="I98" s="36">
        <v>0</v>
      </c>
      <c r="J98" s="36">
        <v>352.78</v>
      </c>
      <c r="K98" s="37">
        <f>IF(tblWaste[[#This Row],[Date]]="","",IF(tblWaste[[#This Row],[Unit]]="kg",tblWaste[[#This Row],[Weight]],IF(tblWaste[[#This Row],[Unit]]="t",tblWaste[[#This Row],[Weight]]*1000,IF(tblWaste[[#This Row],[Unit]]="lb",tblWaste[[#This Row],[Weight]]*0.45359237,IF(tblWaste[[#This Row],[Unit]]="US ton",tblWaste[[#This Row],[Weight]]*907.18474,"")))))</f>
        <v>5690</v>
      </c>
      <c r="L98" s="38" t="str">
        <f>IF(tblWaste[[#This Row],[Date]]="","",IFERROR(INDEX(tblRoutes[Class],MATCH(tblWaste[[#This Row],[Route]],tblRoutes[Route],0)),""))</f>
        <v>Material recovery</v>
      </c>
      <c r="M98" s="38" t="str">
        <f>IF(tblWaste[[#This Row],[Date]]="","",IFERROR(INDEX(tblStreams[Hazardous],MATCH(tblWaste[[#This Row],[Stream]],tblStreams[Stream],0)),""))</f>
        <v>No</v>
      </c>
      <c r="N98" s="37">
        <f>IF(tblWaste[[#This Row],[Date]]="","",IF(OR(tblWaste[[#This Row],[Weight (kg)]]="",tblWaste[[#This Row],[Class]]=""),"",IF(OR(tblWaste[[#This Row],[Class]]="Material recovery",AND(tblWaste[[#This Row],[Class]]="Energy recovery",CountER="Yes")),tblWaste[[#This Row],[Weight (kg)]],0)))</f>
        <v>5690</v>
      </c>
      <c r="O98" s="30">
        <f>IF(tblWaste[[#This Row],[Date]]="","",N(tblWaste[[#This Row],[Charge]])-N(tblWaste[[#This Row],[Rebate]]))</f>
        <v>-352.78</v>
      </c>
      <c r="P98" s="39">
        <f>IF(tblWaste[[#This Row],[Date]]="","",IF(AND(tblWaste[[#This Row],[Date]]&gt;=FFrom,tblWaste[[#This Row],[Date]]&lt;=FTo),tblWaste[[#This Row],[Date]],""))</f>
        <v>46107</v>
      </c>
      <c r="Q9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98" s="28" t="s">
        <v>86</v>
      </c>
    </row>
    <row r="99" spans="2:18">
      <c r="B99" s="35">
        <v>46115</v>
      </c>
      <c r="C99" s="28" t="s">
        <v>229</v>
      </c>
      <c r="D99" s="28" t="s">
        <v>100</v>
      </c>
      <c r="E99" s="28" t="s">
        <v>118</v>
      </c>
      <c r="F99" s="28" t="s">
        <v>136</v>
      </c>
      <c r="G99" s="36">
        <v>1840</v>
      </c>
      <c r="H99" s="28" t="s">
        <v>77</v>
      </c>
      <c r="I99" s="36">
        <v>262.12</v>
      </c>
      <c r="J99" s="36">
        <v>0</v>
      </c>
      <c r="K99" s="37">
        <f>IF(tblWaste[[#This Row],[Date]]="","",IF(tblWaste[[#This Row],[Unit]]="kg",tblWaste[[#This Row],[Weight]],IF(tblWaste[[#This Row],[Unit]]="t",tblWaste[[#This Row],[Weight]]*1000,IF(tblWaste[[#This Row],[Unit]]="lb",tblWaste[[#This Row],[Weight]]*0.45359237,IF(tblWaste[[#This Row],[Unit]]="US ton",tblWaste[[#This Row],[Weight]]*907.18474,"")))))</f>
        <v>1840</v>
      </c>
      <c r="L99" s="38" t="str">
        <f>IF(tblWaste[[#This Row],[Date]]="","",IFERROR(INDEX(tblRoutes[Class],MATCH(tblWaste[[#This Row],[Route]],tblRoutes[Route],0)),""))</f>
        <v>Disposal</v>
      </c>
      <c r="M99" s="38" t="str">
        <f>IF(tblWaste[[#This Row],[Date]]="","",IFERROR(INDEX(tblStreams[Hazardous],MATCH(tblWaste[[#This Row],[Stream]],tblStreams[Stream],0)),""))</f>
        <v>No</v>
      </c>
      <c r="N99" s="37">
        <f>IF(tblWaste[[#This Row],[Date]]="","",IF(OR(tblWaste[[#This Row],[Weight (kg)]]="",tblWaste[[#This Row],[Class]]=""),"",IF(OR(tblWaste[[#This Row],[Class]]="Material recovery",AND(tblWaste[[#This Row],[Class]]="Energy recovery",CountER="Yes")),tblWaste[[#This Row],[Weight (kg)]],0)))</f>
        <v>0</v>
      </c>
      <c r="O99" s="30">
        <f>IF(tblWaste[[#This Row],[Date]]="","",N(tblWaste[[#This Row],[Charge]])-N(tblWaste[[#This Row],[Rebate]]))</f>
        <v>262.12</v>
      </c>
      <c r="P99" s="39">
        <f>IF(tblWaste[[#This Row],[Date]]="","",IF(AND(tblWaste[[#This Row],[Date]]&gt;=FFrom,tblWaste[[#This Row],[Date]]&lt;=FTo),tblWaste[[#This Row],[Date]],""))</f>
        <v>46115</v>
      </c>
      <c r="Q9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99" s="28" t="s">
        <v>86</v>
      </c>
    </row>
    <row r="100" spans="2:18">
      <c r="B100" s="35">
        <v>46116</v>
      </c>
      <c r="C100" s="28" t="s">
        <v>230</v>
      </c>
      <c r="D100" s="28" t="s">
        <v>93</v>
      </c>
      <c r="E100" s="28" t="s">
        <v>109</v>
      </c>
      <c r="F100" s="28" t="s">
        <v>140</v>
      </c>
      <c r="G100" s="36">
        <v>940</v>
      </c>
      <c r="H100" s="28" t="s">
        <v>77</v>
      </c>
      <c r="I100" s="36">
        <v>0</v>
      </c>
      <c r="J100" s="36">
        <v>136.3</v>
      </c>
      <c r="K100" s="37">
        <f>IF(tblWaste[[#This Row],[Date]]="","",IF(tblWaste[[#This Row],[Unit]]="kg",tblWaste[[#This Row],[Weight]],IF(tblWaste[[#This Row],[Unit]]="t",tblWaste[[#This Row],[Weight]]*1000,IF(tblWaste[[#This Row],[Unit]]="lb",tblWaste[[#This Row],[Weight]]*0.45359237,IF(tblWaste[[#This Row],[Unit]]="US ton",tblWaste[[#This Row],[Weight]]*907.18474,"")))))</f>
        <v>940</v>
      </c>
      <c r="L100" s="38" t="str">
        <f>IF(tblWaste[[#This Row],[Date]]="","",IFERROR(INDEX(tblRoutes[Class],MATCH(tblWaste[[#This Row],[Route]],tblRoutes[Route],0)),""))</f>
        <v>Material recovery</v>
      </c>
      <c r="M100" s="38" t="str">
        <f>IF(tblWaste[[#This Row],[Date]]="","",IFERROR(INDEX(tblStreams[Hazardous],MATCH(tblWaste[[#This Row],[Stream]],tblStreams[Stream],0)),""))</f>
        <v>No</v>
      </c>
      <c r="N100" s="37">
        <f>IF(tblWaste[[#This Row],[Date]]="","",IF(OR(tblWaste[[#This Row],[Weight (kg)]]="",tblWaste[[#This Row],[Class]]=""),"",IF(OR(tblWaste[[#This Row],[Class]]="Material recovery",AND(tblWaste[[#This Row],[Class]]="Energy recovery",CountER="Yes")),tblWaste[[#This Row],[Weight (kg)]],0)))</f>
        <v>940</v>
      </c>
      <c r="O100" s="30">
        <f>IF(tblWaste[[#This Row],[Date]]="","",N(tblWaste[[#This Row],[Charge]])-N(tblWaste[[#This Row],[Rebate]]))</f>
        <v>-136.3</v>
      </c>
      <c r="P100" s="39">
        <f>IF(tblWaste[[#This Row],[Date]]="","",IF(AND(tblWaste[[#This Row],[Date]]&gt;=FFrom,tblWaste[[#This Row],[Date]]&lt;=FTo),tblWaste[[#This Row],[Date]],""))</f>
        <v>46116</v>
      </c>
      <c r="Q10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00" s="28" t="s">
        <v>86</v>
      </c>
    </row>
    <row r="101" spans="2:18">
      <c r="B101" s="35">
        <v>46116</v>
      </c>
      <c r="C101" s="28" t="s">
        <v>231</v>
      </c>
      <c r="D101" s="28" t="s">
        <v>95</v>
      </c>
      <c r="E101" s="28" t="s">
        <v>111</v>
      </c>
      <c r="F101" s="28" t="s">
        <v>136</v>
      </c>
      <c r="G101" s="36">
        <v>290</v>
      </c>
      <c r="H101" s="28" t="s">
        <v>77</v>
      </c>
      <c r="I101" s="36">
        <v>72.55</v>
      </c>
      <c r="J101" s="36">
        <v>0</v>
      </c>
      <c r="K101" s="37">
        <f>IF(tblWaste[[#This Row],[Date]]="","",IF(tblWaste[[#This Row],[Unit]]="kg",tblWaste[[#This Row],[Weight]],IF(tblWaste[[#This Row],[Unit]]="t",tblWaste[[#This Row],[Weight]]*1000,IF(tblWaste[[#This Row],[Unit]]="lb",tblWaste[[#This Row],[Weight]]*0.45359237,IF(tblWaste[[#This Row],[Unit]]="US ton",tblWaste[[#This Row],[Weight]]*907.18474,"")))))</f>
        <v>290</v>
      </c>
      <c r="L101" s="38" t="str">
        <f>IF(tblWaste[[#This Row],[Date]]="","",IFERROR(INDEX(tblRoutes[Class],MATCH(tblWaste[[#This Row],[Route]],tblRoutes[Route],0)),""))</f>
        <v>Material recovery</v>
      </c>
      <c r="M101" s="38" t="str">
        <f>IF(tblWaste[[#This Row],[Date]]="","",IFERROR(INDEX(tblStreams[Hazardous],MATCH(tblWaste[[#This Row],[Stream]],tblStreams[Stream],0)),""))</f>
        <v>No</v>
      </c>
      <c r="N101" s="37">
        <f>IF(tblWaste[[#This Row],[Date]]="","",IF(OR(tblWaste[[#This Row],[Weight (kg)]]="",tblWaste[[#This Row],[Class]]=""),"",IF(OR(tblWaste[[#This Row],[Class]]="Material recovery",AND(tblWaste[[#This Row],[Class]]="Energy recovery",CountER="Yes")),tblWaste[[#This Row],[Weight (kg)]],0)))</f>
        <v>290</v>
      </c>
      <c r="O101" s="30">
        <f>IF(tblWaste[[#This Row],[Date]]="","",N(tblWaste[[#This Row],[Charge]])-N(tblWaste[[#This Row],[Rebate]]))</f>
        <v>72.55</v>
      </c>
      <c r="P101" s="39">
        <f>IF(tblWaste[[#This Row],[Date]]="","",IF(AND(tblWaste[[#This Row],[Date]]&gt;=FFrom,tblWaste[[#This Row],[Date]]&lt;=FTo),tblWaste[[#This Row],[Date]],""))</f>
        <v>46116</v>
      </c>
      <c r="Q10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01" s="28" t="s">
        <v>86</v>
      </c>
    </row>
    <row r="102" spans="2:18">
      <c r="B102" s="35">
        <v>46117</v>
      </c>
      <c r="C102" s="28" t="s">
        <v>232</v>
      </c>
      <c r="D102" s="28" t="s">
        <v>87</v>
      </c>
      <c r="E102" s="28" t="s">
        <v>109</v>
      </c>
      <c r="F102" s="28" t="s">
        <v>133</v>
      </c>
      <c r="G102" s="36">
        <v>2930</v>
      </c>
      <c r="H102" s="28" t="s">
        <v>77</v>
      </c>
      <c r="I102" s="36">
        <v>0</v>
      </c>
      <c r="J102" s="36">
        <v>117.2</v>
      </c>
      <c r="K102" s="37">
        <f>IF(tblWaste[[#This Row],[Date]]="","",IF(tblWaste[[#This Row],[Unit]]="kg",tblWaste[[#This Row],[Weight]],IF(tblWaste[[#This Row],[Unit]]="t",tblWaste[[#This Row],[Weight]]*1000,IF(tblWaste[[#This Row],[Unit]]="lb",tblWaste[[#This Row],[Weight]]*0.45359237,IF(tblWaste[[#This Row],[Unit]]="US ton",tblWaste[[#This Row],[Weight]]*907.18474,"")))))</f>
        <v>2930</v>
      </c>
      <c r="L102" s="38" t="str">
        <f>IF(tblWaste[[#This Row],[Date]]="","",IFERROR(INDEX(tblRoutes[Class],MATCH(tblWaste[[#This Row],[Route]],tblRoutes[Route],0)),""))</f>
        <v>Material recovery</v>
      </c>
      <c r="M102" s="38" t="str">
        <f>IF(tblWaste[[#This Row],[Date]]="","",IFERROR(INDEX(tblStreams[Hazardous],MATCH(tblWaste[[#This Row],[Stream]],tblStreams[Stream],0)),""))</f>
        <v>No</v>
      </c>
      <c r="N102" s="37">
        <f>IF(tblWaste[[#This Row],[Date]]="","",IF(OR(tblWaste[[#This Row],[Weight (kg)]]="",tblWaste[[#This Row],[Class]]=""),"",IF(OR(tblWaste[[#This Row],[Class]]="Material recovery",AND(tblWaste[[#This Row],[Class]]="Energy recovery",CountER="Yes")),tblWaste[[#This Row],[Weight (kg)]],0)))</f>
        <v>2930</v>
      </c>
      <c r="O102" s="30">
        <f>IF(tblWaste[[#This Row],[Date]]="","",N(tblWaste[[#This Row],[Charge]])-N(tblWaste[[#This Row],[Rebate]]))</f>
        <v>-117.2</v>
      </c>
      <c r="P102" s="39">
        <f>IF(tblWaste[[#This Row],[Date]]="","",IF(AND(tblWaste[[#This Row],[Date]]&gt;=FFrom,tblWaste[[#This Row],[Date]]&lt;=FTo),tblWaste[[#This Row],[Date]],""))</f>
        <v>46117</v>
      </c>
      <c r="Q10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02" s="28" t="s">
        <v>233</v>
      </c>
    </row>
    <row r="103" spans="2:18">
      <c r="B103" s="35">
        <v>46117</v>
      </c>
      <c r="C103" s="28" t="s">
        <v>234</v>
      </c>
      <c r="D103" s="28" t="s">
        <v>90</v>
      </c>
      <c r="E103" s="28" t="s">
        <v>106</v>
      </c>
      <c r="F103" s="28" t="s">
        <v>138</v>
      </c>
      <c r="G103" s="36">
        <v>2060</v>
      </c>
      <c r="H103" s="28" t="s">
        <v>77</v>
      </c>
      <c r="I103" s="36">
        <v>117.1</v>
      </c>
      <c r="J103" s="36">
        <v>0</v>
      </c>
      <c r="K103" s="37">
        <f>IF(tblWaste[[#This Row],[Date]]="","",IF(tblWaste[[#This Row],[Unit]]="kg",tblWaste[[#This Row],[Weight]],IF(tblWaste[[#This Row],[Unit]]="t",tblWaste[[#This Row],[Weight]]*1000,IF(tblWaste[[#This Row],[Unit]]="lb",tblWaste[[#This Row],[Weight]]*0.45359237,IF(tblWaste[[#This Row],[Unit]]="US ton",tblWaste[[#This Row],[Weight]]*907.18474,"")))))</f>
        <v>2060</v>
      </c>
      <c r="L103" s="38" t="str">
        <f>IF(tblWaste[[#This Row],[Date]]="","",IFERROR(INDEX(tblRoutes[Class],MATCH(tblWaste[[#This Row],[Route]],tblRoutes[Route],0)),""))</f>
        <v>Material recovery</v>
      </c>
      <c r="M103" s="38" t="str">
        <f>IF(tblWaste[[#This Row],[Date]]="","",IFERROR(INDEX(tblStreams[Hazardous],MATCH(tblWaste[[#This Row],[Stream]],tblStreams[Stream],0)),""))</f>
        <v>No</v>
      </c>
      <c r="N103" s="37">
        <f>IF(tblWaste[[#This Row],[Date]]="","",IF(OR(tblWaste[[#This Row],[Weight (kg)]]="",tblWaste[[#This Row],[Class]]=""),"",IF(OR(tblWaste[[#This Row],[Class]]="Material recovery",AND(tblWaste[[#This Row],[Class]]="Energy recovery",CountER="Yes")),tblWaste[[#This Row],[Weight (kg)]],0)))</f>
        <v>2060</v>
      </c>
      <c r="O103" s="30">
        <f>IF(tblWaste[[#This Row],[Date]]="","",N(tblWaste[[#This Row],[Charge]])-N(tblWaste[[#This Row],[Rebate]]))</f>
        <v>117.1</v>
      </c>
      <c r="P103" s="39">
        <f>IF(tblWaste[[#This Row],[Date]]="","",IF(AND(tblWaste[[#This Row],[Date]]&gt;=FFrom,tblWaste[[#This Row],[Date]]&lt;=FTo),tblWaste[[#This Row],[Date]],""))</f>
        <v>46117</v>
      </c>
      <c r="Q10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03" s="28" t="s">
        <v>86</v>
      </c>
    </row>
    <row r="104" spans="2:18">
      <c r="B104" s="35">
        <v>46118</v>
      </c>
      <c r="C104" s="28" t="s">
        <v>235</v>
      </c>
      <c r="D104" s="28" t="s">
        <v>81</v>
      </c>
      <c r="E104" s="28" t="s">
        <v>109</v>
      </c>
      <c r="F104" s="28" t="s">
        <v>133</v>
      </c>
      <c r="G104" s="36">
        <v>4.59</v>
      </c>
      <c r="H104" s="28" t="s">
        <v>75</v>
      </c>
      <c r="I104" s="36">
        <v>0</v>
      </c>
      <c r="J104" s="36">
        <v>284.58</v>
      </c>
      <c r="K104" s="37">
        <f>IF(tblWaste[[#This Row],[Date]]="","",IF(tblWaste[[#This Row],[Unit]]="kg",tblWaste[[#This Row],[Weight]],IF(tblWaste[[#This Row],[Unit]]="t",tblWaste[[#This Row],[Weight]]*1000,IF(tblWaste[[#This Row],[Unit]]="lb",tblWaste[[#This Row],[Weight]]*0.45359237,IF(tblWaste[[#This Row],[Unit]]="US ton",tblWaste[[#This Row],[Weight]]*907.18474,"")))))</f>
        <v>4590</v>
      </c>
      <c r="L104" s="38" t="str">
        <f>IF(tblWaste[[#This Row],[Date]]="","",IFERROR(INDEX(tblRoutes[Class],MATCH(tblWaste[[#This Row],[Route]],tblRoutes[Route],0)),""))</f>
        <v>Material recovery</v>
      </c>
      <c r="M104" s="38" t="str">
        <f>IF(tblWaste[[#This Row],[Date]]="","",IFERROR(INDEX(tblStreams[Hazardous],MATCH(tblWaste[[#This Row],[Stream]],tblStreams[Stream],0)),""))</f>
        <v>No</v>
      </c>
      <c r="N104" s="37">
        <f>IF(tblWaste[[#This Row],[Date]]="","",IF(OR(tblWaste[[#This Row],[Weight (kg)]]="",tblWaste[[#This Row],[Class]]=""),"",IF(OR(tblWaste[[#This Row],[Class]]="Material recovery",AND(tblWaste[[#This Row],[Class]]="Energy recovery",CountER="Yes")),tblWaste[[#This Row],[Weight (kg)]],0)))</f>
        <v>4590</v>
      </c>
      <c r="O104" s="30">
        <f>IF(tblWaste[[#This Row],[Date]]="","",N(tblWaste[[#This Row],[Charge]])-N(tblWaste[[#This Row],[Rebate]]))</f>
        <v>-284.58</v>
      </c>
      <c r="P104" s="39">
        <f>IF(tblWaste[[#This Row],[Date]]="","",IF(AND(tblWaste[[#This Row],[Date]]&gt;=FFrom,tblWaste[[#This Row],[Date]]&lt;=FTo),tblWaste[[#This Row],[Date]],""))</f>
        <v>46118</v>
      </c>
      <c r="Q10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04" s="28" t="s">
        <v>86</v>
      </c>
    </row>
    <row r="105" spans="2:18">
      <c r="B105" s="35">
        <v>46118</v>
      </c>
      <c r="C105" s="28" t="s">
        <v>236</v>
      </c>
      <c r="D105" s="28" t="s">
        <v>85</v>
      </c>
      <c r="E105" s="28" t="s">
        <v>109</v>
      </c>
      <c r="F105" s="28" t="s">
        <v>133</v>
      </c>
      <c r="G105" s="36">
        <v>830</v>
      </c>
      <c r="H105" s="28" t="s">
        <v>77</v>
      </c>
      <c r="I105" s="36">
        <v>0</v>
      </c>
      <c r="J105" s="36">
        <v>16.6</v>
      </c>
      <c r="K105" s="37">
        <f>IF(tblWaste[[#This Row],[Date]]="","",IF(tblWaste[[#This Row],[Unit]]="kg",tblWaste[[#This Row],[Weight]],IF(tblWaste[[#This Row],[Unit]]="t",tblWaste[[#This Row],[Weight]]*1000,IF(tblWaste[[#This Row],[Unit]]="lb",tblWaste[[#This Row],[Weight]]*0.45359237,IF(tblWaste[[#This Row],[Unit]]="US ton",tblWaste[[#This Row],[Weight]]*907.18474,"")))))</f>
        <v>830</v>
      </c>
      <c r="L105" s="38" t="str">
        <f>IF(tblWaste[[#This Row],[Date]]="","",IFERROR(INDEX(tblRoutes[Class],MATCH(tblWaste[[#This Row],[Route]],tblRoutes[Route],0)),""))</f>
        <v>Material recovery</v>
      </c>
      <c r="M105" s="38" t="str">
        <f>IF(tblWaste[[#This Row],[Date]]="","",IFERROR(INDEX(tblStreams[Hazardous],MATCH(tblWaste[[#This Row],[Stream]],tblStreams[Stream],0)),""))</f>
        <v>No</v>
      </c>
      <c r="N105" s="37">
        <f>IF(tblWaste[[#This Row],[Date]]="","",IF(OR(tblWaste[[#This Row],[Weight (kg)]]="",tblWaste[[#This Row],[Class]]=""),"",IF(OR(tblWaste[[#This Row],[Class]]="Material recovery",AND(tblWaste[[#This Row],[Class]]="Energy recovery",CountER="Yes")),tblWaste[[#This Row],[Weight (kg)]],0)))</f>
        <v>830</v>
      </c>
      <c r="O105" s="30">
        <f>IF(tblWaste[[#This Row],[Date]]="","",N(tblWaste[[#This Row],[Charge]])-N(tblWaste[[#This Row],[Rebate]]))</f>
        <v>-16.6</v>
      </c>
      <c r="P105" s="39">
        <f>IF(tblWaste[[#This Row],[Date]]="","",IF(AND(tblWaste[[#This Row],[Date]]&gt;=FFrom,tblWaste[[#This Row],[Date]]&lt;=FTo),tblWaste[[#This Row],[Date]],""))</f>
        <v>46118</v>
      </c>
      <c r="Q10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05" s="28" t="s">
        <v>86</v>
      </c>
    </row>
    <row r="106" spans="2:18">
      <c r="B106" s="35">
        <v>46122</v>
      </c>
      <c r="C106" s="28" t="s">
        <v>237</v>
      </c>
      <c r="D106" s="28" t="s">
        <v>81</v>
      </c>
      <c r="E106" s="28" t="s">
        <v>109</v>
      </c>
      <c r="F106" s="28" t="s">
        <v>133</v>
      </c>
      <c r="G106" s="36">
        <v>5.14</v>
      </c>
      <c r="H106" s="28" t="s">
        <v>75</v>
      </c>
      <c r="I106" s="36">
        <v>0</v>
      </c>
      <c r="J106" s="36">
        <v>318.68</v>
      </c>
      <c r="K106" s="37">
        <f>IF(tblWaste[[#This Row],[Date]]="","",IF(tblWaste[[#This Row],[Unit]]="kg",tblWaste[[#This Row],[Weight]],IF(tblWaste[[#This Row],[Unit]]="t",tblWaste[[#This Row],[Weight]]*1000,IF(tblWaste[[#This Row],[Unit]]="lb",tblWaste[[#This Row],[Weight]]*0.45359237,IF(tblWaste[[#This Row],[Unit]]="US ton",tblWaste[[#This Row],[Weight]]*907.18474,"")))))</f>
        <v>5140</v>
      </c>
      <c r="L106" s="38" t="str">
        <f>IF(tblWaste[[#This Row],[Date]]="","",IFERROR(INDEX(tblRoutes[Class],MATCH(tblWaste[[#This Row],[Route]],tblRoutes[Route],0)),""))</f>
        <v>Material recovery</v>
      </c>
      <c r="M106" s="38" t="str">
        <f>IF(tblWaste[[#This Row],[Date]]="","",IFERROR(INDEX(tblStreams[Hazardous],MATCH(tblWaste[[#This Row],[Stream]],tblStreams[Stream],0)),""))</f>
        <v>No</v>
      </c>
      <c r="N106" s="37">
        <f>IF(tblWaste[[#This Row],[Date]]="","",IF(OR(tblWaste[[#This Row],[Weight (kg)]]="",tblWaste[[#This Row],[Class]]=""),"",IF(OR(tblWaste[[#This Row],[Class]]="Material recovery",AND(tblWaste[[#This Row],[Class]]="Energy recovery",CountER="Yes")),tblWaste[[#This Row],[Weight (kg)]],0)))</f>
        <v>5140</v>
      </c>
      <c r="O106" s="30">
        <f>IF(tblWaste[[#This Row],[Date]]="","",N(tblWaste[[#This Row],[Charge]])-N(tblWaste[[#This Row],[Rebate]]))</f>
        <v>-318.68</v>
      </c>
      <c r="P106" s="39">
        <f>IF(tblWaste[[#This Row],[Date]]="","",IF(AND(tblWaste[[#This Row],[Date]]&gt;=FFrom,tblWaste[[#This Row],[Date]]&lt;=FTo),tblWaste[[#This Row],[Date]],""))</f>
        <v>46122</v>
      </c>
      <c r="Q10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06" s="28" t="s">
        <v>86</v>
      </c>
    </row>
    <row r="107" spans="2:18">
      <c r="B107" s="35">
        <v>46122</v>
      </c>
      <c r="C107" s="28" t="s">
        <v>238</v>
      </c>
      <c r="D107" s="28" t="s">
        <v>100</v>
      </c>
      <c r="E107" s="28" t="s">
        <v>118</v>
      </c>
      <c r="F107" s="28" t="s">
        <v>136</v>
      </c>
      <c r="G107" s="36">
        <v>1800</v>
      </c>
      <c r="H107" s="28" t="s">
        <v>77</v>
      </c>
      <c r="I107" s="36">
        <v>257.4</v>
      </c>
      <c r="J107" s="36">
        <v>0</v>
      </c>
      <c r="K107" s="37">
        <f>IF(tblWaste[[#This Row],[Date]]="","",IF(tblWaste[[#This Row],[Unit]]="kg",tblWaste[[#This Row],[Weight]],IF(tblWaste[[#This Row],[Unit]]="t",tblWaste[[#This Row],[Weight]]*1000,IF(tblWaste[[#This Row],[Unit]]="lb",tblWaste[[#This Row],[Weight]]*0.45359237,IF(tblWaste[[#This Row],[Unit]]="US ton",tblWaste[[#This Row],[Weight]]*907.18474,"")))))</f>
        <v>1800</v>
      </c>
      <c r="L107" s="38" t="str">
        <f>IF(tblWaste[[#This Row],[Date]]="","",IFERROR(INDEX(tblRoutes[Class],MATCH(tblWaste[[#This Row],[Route]],tblRoutes[Route],0)),""))</f>
        <v>Disposal</v>
      </c>
      <c r="M107" s="38" t="str">
        <f>IF(tblWaste[[#This Row],[Date]]="","",IFERROR(INDEX(tblStreams[Hazardous],MATCH(tblWaste[[#This Row],[Stream]],tblStreams[Stream],0)),""))</f>
        <v>No</v>
      </c>
      <c r="N107" s="37">
        <f>IF(tblWaste[[#This Row],[Date]]="","",IF(OR(tblWaste[[#This Row],[Weight (kg)]]="",tblWaste[[#This Row],[Class]]=""),"",IF(OR(tblWaste[[#This Row],[Class]]="Material recovery",AND(tblWaste[[#This Row],[Class]]="Energy recovery",CountER="Yes")),tblWaste[[#This Row],[Weight (kg)]],0)))</f>
        <v>0</v>
      </c>
      <c r="O107" s="30">
        <f>IF(tblWaste[[#This Row],[Date]]="","",N(tblWaste[[#This Row],[Charge]])-N(tblWaste[[#This Row],[Rebate]]))</f>
        <v>257.4</v>
      </c>
      <c r="P107" s="39">
        <f>IF(tblWaste[[#This Row],[Date]]="","",IF(AND(tblWaste[[#This Row],[Date]]&gt;=FFrom,tblWaste[[#This Row],[Date]]&lt;=FTo),tblWaste[[#This Row],[Date]],""))</f>
        <v>46122</v>
      </c>
      <c r="Q10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07" s="28" t="s">
        <v>86</v>
      </c>
    </row>
    <row r="108" spans="2:18">
      <c r="B108" s="35">
        <v>46123</v>
      </c>
      <c r="C108" s="28" t="s">
        <v>239</v>
      </c>
      <c r="D108" s="28" t="s">
        <v>95</v>
      </c>
      <c r="E108" s="28" t="s">
        <v>111</v>
      </c>
      <c r="F108" s="28" t="s">
        <v>136</v>
      </c>
      <c r="G108" s="36">
        <v>260</v>
      </c>
      <c r="H108" s="28" t="s">
        <v>77</v>
      </c>
      <c r="I108" s="36">
        <v>69.7</v>
      </c>
      <c r="J108" s="36">
        <v>0</v>
      </c>
      <c r="K108" s="37">
        <f>IF(tblWaste[[#This Row],[Date]]="","",IF(tblWaste[[#This Row],[Unit]]="kg",tblWaste[[#This Row],[Weight]],IF(tblWaste[[#This Row],[Unit]]="t",tblWaste[[#This Row],[Weight]]*1000,IF(tblWaste[[#This Row],[Unit]]="lb",tblWaste[[#This Row],[Weight]]*0.45359237,IF(tblWaste[[#This Row],[Unit]]="US ton",tblWaste[[#This Row],[Weight]]*907.18474,"")))))</f>
        <v>260</v>
      </c>
      <c r="L108" s="38" t="str">
        <f>IF(tblWaste[[#This Row],[Date]]="","",IFERROR(INDEX(tblRoutes[Class],MATCH(tblWaste[[#This Row],[Route]],tblRoutes[Route],0)),""))</f>
        <v>Material recovery</v>
      </c>
      <c r="M108" s="38" t="str">
        <f>IF(tblWaste[[#This Row],[Date]]="","",IFERROR(INDEX(tblStreams[Hazardous],MATCH(tblWaste[[#This Row],[Stream]],tblStreams[Stream],0)),""))</f>
        <v>No</v>
      </c>
      <c r="N108" s="37">
        <f>IF(tblWaste[[#This Row],[Date]]="","",IF(OR(tblWaste[[#This Row],[Weight (kg)]]="",tblWaste[[#This Row],[Class]]=""),"",IF(OR(tblWaste[[#This Row],[Class]]="Material recovery",AND(tblWaste[[#This Row],[Class]]="Energy recovery",CountER="Yes")),tblWaste[[#This Row],[Weight (kg)]],0)))</f>
        <v>260</v>
      </c>
      <c r="O108" s="30">
        <f>IF(tblWaste[[#This Row],[Date]]="","",N(tblWaste[[#This Row],[Charge]])-N(tblWaste[[#This Row],[Rebate]]))</f>
        <v>69.7</v>
      </c>
      <c r="P108" s="39">
        <f>IF(tblWaste[[#This Row],[Date]]="","",IF(AND(tblWaste[[#This Row],[Date]]&gt;=FFrom,tblWaste[[#This Row],[Date]]&lt;=FTo),tblWaste[[#This Row],[Date]],""))</f>
        <v>46123</v>
      </c>
      <c r="Q10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08" s="28" t="s">
        <v>86</v>
      </c>
    </row>
    <row r="109" spans="2:18">
      <c r="B109" s="35">
        <v>46125</v>
      </c>
      <c r="C109" s="28" t="s">
        <v>240</v>
      </c>
      <c r="D109" s="28" t="s">
        <v>87</v>
      </c>
      <c r="E109" s="28" t="s">
        <v>109</v>
      </c>
      <c r="F109" s="28" t="s">
        <v>133</v>
      </c>
      <c r="G109" s="36">
        <v>2830</v>
      </c>
      <c r="H109" s="28" t="s">
        <v>77</v>
      </c>
      <c r="I109" s="36">
        <v>0</v>
      </c>
      <c r="J109" s="36">
        <v>113.2</v>
      </c>
      <c r="K109" s="37">
        <f>IF(tblWaste[[#This Row],[Date]]="","",IF(tblWaste[[#This Row],[Unit]]="kg",tblWaste[[#This Row],[Weight]],IF(tblWaste[[#This Row],[Unit]]="t",tblWaste[[#This Row],[Weight]]*1000,IF(tblWaste[[#This Row],[Unit]]="lb",tblWaste[[#This Row],[Weight]]*0.45359237,IF(tblWaste[[#This Row],[Unit]]="US ton",tblWaste[[#This Row],[Weight]]*907.18474,"")))))</f>
        <v>2830</v>
      </c>
      <c r="L109" s="38" t="str">
        <f>IF(tblWaste[[#This Row],[Date]]="","",IFERROR(INDEX(tblRoutes[Class],MATCH(tblWaste[[#This Row],[Route]],tblRoutes[Route],0)),""))</f>
        <v>Material recovery</v>
      </c>
      <c r="M109" s="38" t="str">
        <f>IF(tblWaste[[#This Row],[Date]]="","",IFERROR(INDEX(tblStreams[Hazardous],MATCH(tblWaste[[#This Row],[Stream]],tblStreams[Stream],0)),""))</f>
        <v>No</v>
      </c>
      <c r="N109" s="37">
        <f>IF(tblWaste[[#This Row],[Date]]="","",IF(OR(tblWaste[[#This Row],[Weight (kg)]]="",tblWaste[[#This Row],[Class]]=""),"",IF(OR(tblWaste[[#This Row],[Class]]="Material recovery",AND(tblWaste[[#This Row],[Class]]="Energy recovery",CountER="Yes")),tblWaste[[#This Row],[Weight (kg)]],0)))</f>
        <v>2830</v>
      </c>
      <c r="O109" s="30">
        <f>IF(tblWaste[[#This Row],[Date]]="","",N(tblWaste[[#This Row],[Charge]])-N(tblWaste[[#This Row],[Rebate]]))</f>
        <v>-113.2</v>
      </c>
      <c r="P109" s="39">
        <f>IF(tblWaste[[#This Row],[Date]]="","",IF(AND(tblWaste[[#This Row],[Date]]&gt;=FFrom,tblWaste[[#This Row],[Date]]&lt;=FTo),tblWaste[[#This Row],[Date]],""))</f>
        <v>46125</v>
      </c>
      <c r="Q10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09" s="28" t="s">
        <v>86</v>
      </c>
    </row>
    <row r="110" spans="2:18">
      <c r="B110" s="35">
        <v>46130</v>
      </c>
      <c r="C110" s="28" t="s">
        <v>241</v>
      </c>
      <c r="D110" s="28" t="s">
        <v>81</v>
      </c>
      <c r="E110" s="28" t="s">
        <v>109</v>
      </c>
      <c r="F110" s="28" t="s">
        <v>133</v>
      </c>
      <c r="G110" s="36">
        <v>5.49</v>
      </c>
      <c r="H110" s="28" t="s">
        <v>75</v>
      </c>
      <c r="I110" s="36">
        <v>0</v>
      </c>
      <c r="J110" s="36">
        <v>340.38</v>
      </c>
      <c r="K110" s="37">
        <f>IF(tblWaste[[#This Row],[Date]]="","",IF(tblWaste[[#This Row],[Unit]]="kg",tblWaste[[#This Row],[Weight]],IF(tblWaste[[#This Row],[Unit]]="t",tblWaste[[#This Row],[Weight]]*1000,IF(tblWaste[[#This Row],[Unit]]="lb",tblWaste[[#This Row],[Weight]]*0.45359237,IF(tblWaste[[#This Row],[Unit]]="US ton",tblWaste[[#This Row],[Weight]]*907.18474,"")))))</f>
        <v>5490</v>
      </c>
      <c r="L110" s="38" t="str">
        <f>IF(tblWaste[[#This Row],[Date]]="","",IFERROR(INDEX(tblRoutes[Class],MATCH(tblWaste[[#This Row],[Route]],tblRoutes[Route],0)),""))</f>
        <v>Material recovery</v>
      </c>
      <c r="M110" s="38" t="str">
        <f>IF(tblWaste[[#This Row],[Date]]="","",IFERROR(INDEX(tblStreams[Hazardous],MATCH(tblWaste[[#This Row],[Stream]],tblStreams[Stream],0)),""))</f>
        <v>No</v>
      </c>
      <c r="N110" s="37">
        <f>IF(tblWaste[[#This Row],[Date]]="","",IF(OR(tblWaste[[#This Row],[Weight (kg)]]="",tblWaste[[#This Row],[Class]]=""),"",IF(OR(tblWaste[[#This Row],[Class]]="Material recovery",AND(tblWaste[[#This Row],[Class]]="Energy recovery",CountER="Yes")),tblWaste[[#This Row],[Weight (kg)]],0)))</f>
        <v>5490</v>
      </c>
      <c r="O110" s="30">
        <f>IF(tblWaste[[#This Row],[Date]]="","",N(tblWaste[[#This Row],[Charge]])-N(tblWaste[[#This Row],[Rebate]]))</f>
        <v>-340.38</v>
      </c>
      <c r="P110" s="39">
        <f>IF(tblWaste[[#This Row],[Date]]="","",IF(AND(tblWaste[[#This Row],[Date]]&gt;=FFrom,tblWaste[[#This Row],[Date]]&lt;=FTo),tblWaste[[#This Row],[Date]],""))</f>
        <v>46130</v>
      </c>
      <c r="Q11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10" s="28" t="s">
        <v>86</v>
      </c>
    </row>
    <row r="111" spans="2:18">
      <c r="B111" s="35">
        <v>46131</v>
      </c>
      <c r="C111" s="28" t="s">
        <v>242</v>
      </c>
      <c r="D111" s="28" t="s">
        <v>100</v>
      </c>
      <c r="E111" s="28" t="s">
        <v>118</v>
      </c>
      <c r="F111" s="28" t="s">
        <v>136</v>
      </c>
      <c r="G111" s="36">
        <v>2050</v>
      </c>
      <c r="H111" s="28" t="s">
        <v>77</v>
      </c>
      <c r="I111" s="36">
        <v>286.9</v>
      </c>
      <c r="J111" s="36">
        <v>0</v>
      </c>
      <c r="K111" s="37">
        <f>IF(tblWaste[[#This Row],[Date]]="","",IF(tblWaste[[#This Row],[Unit]]="kg",tblWaste[[#This Row],[Weight]],IF(tblWaste[[#This Row],[Unit]]="t",tblWaste[[#This Row],[Weight]]*1000,IF(tblWaste[[#This Row],[Unit]]="lb",tblWaste[[#This Row],[Weight]]*0.45359237,IF(tblWaste[[#This Row],[Unit]]="US ton",tblWaste[[#This Row],[Weight]]*907.18474,"")))))</f>
        <v>2050</v>
      </c>
      <c r="L111" s="38" t="str">
        <f>IF(tblWaste[[#This Row],[Date]]="","",IFERROR(INDEX(tblRoutes[Class],MATCH(tblWaste[[#This Row],[Route]],tblRoutes[Route],0)),""))</f>
        <v>Disposal</v>
      </c>
      <c r="M111" s="38" t="str">
        <f>IF(tblWaste[[#This Row],[Date]]="","",IFERROR(INDEX(tblStreams[Hazardous],MATCH(tblWaste[[#This Row],[Stream]],tblStreams[Stream],0)),""))</f>
        <v>No</v>
      </c>
      <c r="N111" s="37">
        <f>IF(tblWaste[[#This Row],[Date]]="","",IF(OR(tblWaste[[#This Row],[Weight (kg)]]="",tblWaste[[#This Row],[Class]]=""),"",IF(OR(tblWaste[[#This Row],[Class]]="Material recovery",AND(tblWaste[[#This Row],[Class]]="Energy recovery",CountER="Yes")),tblWaste[[#This Row],[Weight (kg)]],0)))</f>
        <v>0</v>
      </c>
      <c r="O111" s="30">
        <f>IF(tblWaste[[#This Row],[Date]]="","",N(tblWaste[[#This Row],[Charge]])-N(tblWaste[[#This Row],[Rebate]]))</f>
        <v>286.9</v>
      </c>
      <c r="P111" s="39">
        <f>IF(tblWaste[[#This Row],[Date]]="","",IF(AND(tblWaste[[#This Row],[Date]]&gt;=FFrom,tblWaste[[#This Row],[Date]]&lt;=FTo),tblWaste[[#This Row],[Date]],""))</f>
        <v>46131</v>
      </c>
      <c r="Q11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11" s="28" t="s">
        <v>86</v>
      </c>
    </row>
    <row r="112" spans="2:18">
      <c r="B112" s="35">
        <v>46136</v>
      </c>
      <c r="C112" s="28" t="s">
        <v>243</v>
      </c>
      <c r="D112" s="28" t="s">
        <v>81</v>
      </c>
      <c r="E112" s="28" t="s">
        <v>109</v>
      </c>
      <c r="F112" s="28" t="s">
        <v>133</v>
      </c>
      <c r="G112" s="36">
        <v>4.51</v>
      </c>
      <c r="H112" s="28" t="s">
        <v>75</v>
      </c>
      <c r="I112" s="36">
        <v>0</v>
      </c>
      <c r="J112" s="36">
        <v>279.62</v>
      </c>
      <c r="K112" s="37">
        <f>IF(tblWaste[[#This Row],[Date]]="","",IF(tblWaste[[#This Row],[Unit]]="kg",tblWaste[[#This Row],[Weight]],IF(tblWaste[[#This Row],[Unit]]="t",tblWaste[[#This Row],[Weight]]*1000,IF(tblWaste[[#This Row],[Unit]]="lb",tblWaste[[#This Row],[Weight]]*0.45359237,IF(tblWaste[[#This Row],[Unit]]="US ton",tblWaste[[#This Row],[Weight]]*907.18474,"")))))</f>
        <v>4510</v>
      </c>
      <c r="L112" s="38" t="str">
        <f>IF(tblWaste[[#This Row],[Date]]="","",IFERROR(INDEX(tblRoutes[Class],MATCH(tblWaste[[#This Row],[Route]],tblRoutes[Route],0)),""))</f>
        <v>Material recovery</v>
      </c>
      <c r="M112" s="38" t="str">
        <f>IF(tblWaste[[#This Row],[Date]]="","",IFERROR(INDEX(tblStreams[Hazardous],MATCH(tblWaste[[#This Row],[Stream]],tblStreams[Stream],0)),""))</f>
        <v>No</v>
      </c>
      <c r="N112" s="37">
        <f>IF(tblWaste[[#This Row],[Date]]="","",IF(OR(tblWaste[[#This Row],[Weight (kg)]]="",tblWaste[[#This Row],[Class]]=""),"",IF(OR(tblWaste[[#This Row],[Class]]="Material recovery",AND(tblWaste[[#This Row],[Class]]="Energy recovery",CountER="Yes")),tblWaste[[#This Row],[Weight (kg)]],0)))</f>
        <v>4510</v>
      </c>
      <c r="O112" s="30">
        <f>IF(tblWaste[[#This Row],[Date]]="","",N(tblWaste[[#This Row],[Charge]])-N(tblWaste[[#This Row],[Rebate]]))</f>
        <v>-279.62</v>
      </c>
      <c r="P112" s="39">
        <f>IF(tblWaste[[#This Row],[Date]]="","",IF(AND(tblWaste[[#This Row],[Date]]&gt;=FFrom,tblWaste[[#This Row],[Date]]&lt;=FTo),tblWaste[[#This Row],[Date]],""))</f>
        <v>46136</v>
      </c>
      <c r="Q11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12" s="28" t="s">
        <v>86</v>
      </c>
    </row>
    <row r="113" spans="2:18">
      <c r="B113" s="35">
        <v>46139</v>
      </c>
      <c r="C113" s="28" t="s">
        <v>244</v>
      </c>
      <c r="D113" s="28" t="s">
        <v>100</v>
      </c>
      <c r="E113" s="28" t="s">
        <v>118</v>
      </c>
      <c r="F113" s="28" t="s">
        <v>136</v>
      </c>
      <c r="G113" s="36">
        <v>2080</v>
      </c>
      <c r="H113" s="28" t="s">
        <v>77</v>
      </c>
      <c r="I113" s="36">
        <v>290.44</v>
      </c>
      <c r="J113" s="36">
        <v>0</v>
      </c>
      <c r="K113" s="37">
        <f>IF(tblWaste[[#This Row],[Date]]="","",IF(tblWaste[[#This Row],[Unit]]="kg",tblWaste[[#This Row],[Weight]],IF(tblWaste[[#This Row],[Unit]]="t",tblWaste[[#This Row],[Weight]]*1000,IF(tblWaste[[#This Row],[Unit]]="lb",tblWaste[[#This Row],[Weight]]*0.45359237,IF(tblWaste[[#This Row],[Unit]]="US ton",tblWaste[[#This Row],[Weight]]*907.18474,"")))))</f>
        <v>2080</v>
      </c>
      <c r="L113" s="38" t="str">
        <f>IF(tblWaste[[#This Row],[Date]]="","",IFERROR(INDEX(tblRoutes[Class],MATCH(tblWaste[[#This Row],[Route]],tblRoutes[Route],0)),""))</f>
        <v>Disposal</v>
      </c>
      <c r="M113" s="38" t="str">
        <f>IF(tblWaste[[#This Row],[Date]]="","",IFERROR(INDEX(tblStreams[Hazardous],MATCH(tblWaste[[#This Row],[Stream]],tblStreams[Stream],0)),""))</f>
        <v>No</v>
      </c>
      <c r="N113" s="37">
        <f>IF(tblWaste[[#This Row],[Date]]="","",IF(OR(tblWaste[[#This Row],[Weight (kg)]]="",tblWaste[[#This Row],[Class]]=""),"",IF(OR(tblWaste[[#This Row],[Class]]="Material recovery",AND(tblWaste[[#This Row],[Class]]="Energy recovery",CountER="Yes")),tblWaste[[#This Row],[Weight (kg)]],0)))</f>
        <v>0</v>
      </c>
      <c r="O113" s="30">
        <f>IF(tblWaste[[#This Row],[Date]]="","",N(tblWaste[[#This Row],[Charge]])-N(tblWaste[[#This Row],[Rebate]]))</f>
        <v>290.44</v>
      </c>
      <c r="P113" s="39">
        <f>IF(tblWaste[[#This Row],[Date]]="","",IF(AND(tblWaste[[#This Row],[Date]]&gt;=FFrom,tblWaste[[#This Row],[Date]]&lt;=FTo),tblWaste[[#This Row],[Date]],""))</f>
        <v>46139</v>
      </c>
      <c r="Q11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13" s="28" t="s">
        <v>86</v>
      </c>
    </row>
    <row r="114" spans="2:18">
      <c r="B114" s="35">
        <v>46145</v>
      </c>
      <c r="C114" s="28" t="s">
        <v>245</v>
      </c>
      <c r="D114" s="28" t="s">
        <v>81</v>
      </c>
      <c r="E114" s="28" t="s">
        <v>109</v>
      </c>
      <c r="F114" s="28" t="s">
        <v>133</v>
      </c>
      <c r="G114" s="36">
        <v>4.42</v>
      </c>
      <c r="H114" s="28" t="s">
        <v>75</v>
      </c>
      <c r="I114" s="36">
        <v>0</v>
      </c>
      <c r="J114" s="36">
        <v>274.04</v>
      </c>
      <c r="K114" s="37">
        <f>IF(tblWaste[[#This Row],[Date]]="","",IF(tblWaste[[#This Row],[Unit]]="kg",tblWaste[[#This Row],[Weight]],IF(tblWaste[[#This Row],[Unit]]="t",tblWaste[[#This Row],[Weight]]*1000,IF(tblWaste[[#This Row],[Unit]]="lb",tblWaste[[#This Row],[Weight]]*0.45359237,IF(tblWaste[[#This Row],[Unit]]="US ton",tblWaste[[#This Row],[Weight]]*907.18474,"")))))</f>
        <v>4420</v>
      </c>
      <c r="L114" s="38" t="str">
        <f>IF(tblWaste[[#This Row],[Date]]="","",IFERROR(INDEX(tblRoutes[Class],MATCH(tblWaste[[#This Row],[Route]],tblRoutes[Route],0)),""))</f>
        <v>Material recovery</v>
      </c>
      <c r="M114" s="38" t="str">
        <f>IF(tblWaste[[#This Row],[Date]]="","",IFERROR(INDEX(tblStreams[Hazardous],MATCH(tblWaste[[#This Row],[Stream]],tblStreams[Stream],0)),""))</f>
        <v>No</v>
      </c>
      <c r="N114" s="37">
        <f>IF(tblWaste[[#This Row],[Date]]="","",IF(OR(tblWaste[[#This Row],[Weight (kg)]]="",tblWaste[[#This Row],[Class]]=""),"",IF(OR(tblWaste[[#This Row],[Class]]="Material recovery",AND(tblWaste[[#This Row],[Class]]="Energy recovery",CountER="Yes")),tblWaste[[#This Row],[Weight (kg)]],0)))</f>
        <v>4420</v>
      </c>
      <c r="O114" s="30">
        <f>IF(tblWaste[[#This Row],[Date]]="","",N(tblWaste[[#This Row],[Charge]])-N(tblWaste[[#This Row],[Rebate]]))</f>
        <v>-274.04</v>
      </c>
      <c r="P114" s="39">
        <f>IF(tblWaste[[#This Row],[Date]]="","",IF(AND(tblWaste[[#This Row],[Date]]&gt;=FFrom,tblWaste[[#This Row],[Date]]&lt;=FTo),tblWaste[[#This Row],[Date]],""))</f>
        <v>46145</v>
      </c>
      <c r="Q11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14" s="28" t="s">
        <v>86</v>
      </c>
    </row>
    <row r="115" spans="2:18">
      <c r="B115" s="35">
        <v>46145</v>
      </c>
      <c r="C115" s="28" t="s">
        <v>246</v>
      </c>
      <c r="D115" s="28" t="s">
        <v>97</v>
      </c>
      <c r="E115" s="28" t="s">
        <v>113</v>
      </c>
      <c r="F115" s="28" t="s">
        <v>154</v>
      </c>
      <c r="G115" s="36">
        <v>1490</v>
      </c>
      <c r="H115" s="28" t="s">
        <v>77</v>
      </c>
      <c r="I115" s="36">
        <v>998.6</v>
      </c>
      <c r="J115" s="36">
        <v>0</v>
      </c>
      <c r="K115" s="37">
        <f>IF(tblWaste[[#This Row],[Date]]="","",IF(tblWaste[[#This Row],[Unit]]="kg",tblWaste[[#This Row],[Weight]],IF(tblWaste[[#This Row],[Unit]]="t",tblWaste[[#This Row],[Weight]]*1000,IF(tblWaste[[#This Row],[Unit]]="lb",tblWaste[[#This Row],[Weight]]*0.45359237,IF(tblWaste[[#This Row],[Unit]]="US ton",tblWaste[[#This Row],[Weight]]*907.18474,"")))))</f>
        <v>1490</v>
      </c>
      <c r="L115" s="38" t="str">
        <f>IF(tblWaste[[#This Row],[Date]]="","",IFERROR(INDEX(tblRoutes[Class],MATCH(tblWaste[[#This Row],[Route]],tblRoutes[Route],0)),""))</f>
        <v>Energy recovery</v>
      </c>
      <c r="M115" s="38" t="str">
        <f>IF(tblWaste[[#This Row],[Date]]="","",IFERROR(INDEX(tblStreams[Hazardous],MATCH(tblWaste[[#This Row],[Stream]],tblStreams[Stream],0)),""))</f>
        <v>Yes</v>
      </c>
      <c r="N115" s="37">
        <f>IF(tblWaste[[#This Row],[Date]]="","",IF(OR(tblWaste[[#This Row],[Weight (kg)]]="",tblWaste[[#This Row],[Class]]=""),"",IF(OR(tblWaste[[#This Row],[Class]]="Material recovery",AND(tblWaste[[#This Row],[Class]]="Energy recovery",CountER="Yes")),tblWaste[[#This Row],[Weight (kg)]],0)))</f>
        <v>1490</v>
      </c>
      <c r="O115" s="30">
        <f>IF(tblWaste[[#This Row],[Date]]="","",N(tblWaste[[#This Row],[Charge]])-N(tblWaste[[#This Row],[Rebate]]))</f>
        <v>998.6</v>
      </c>
      <c r="P115" s="39">
        <f>IF(tblWaste[[#This Row],[Date]]="","",IF(AND(tblWaste[[#This Row],[Date]]&gt;=FFrom,tblWaste[[#This Row],[Date]]&lt;=FTo),tblWaste[[#This Row],[Date]],""))</f>
        <v>46145</v>
      </c>
      <c r="Q11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15" s="28" t="s">
        <v>86</v>
      </c>
    </row>
    <row r="116" spans="2:18">
      <c r="B116" s="35">
        <v>46145</v>
      </c>
      <c r="C116" s="28" t="s">
        <v>247</v>
      </c>
      <c r="D116" s="28" t="s">
        <v>100</v>
      </c>
      <c r="E116" s="28" t="s">
        <v>118</v>
      </c>
      <c r="F116" s="28" t="s">
        <v>136</v>
      </c>
      <c r="G116" s="36">
        <v>2250</v>
      </c>
      <c r="H116" s="28" t="s">
        <v>77</v>
      </c>
      <c r="I116" s="36">
        <v>310.5</v>
      </c>
      <c r="J116" s="36">
        <v>0</v>
      </c>
      <c r="K116" s="37">
        <f>IF(tblWaste[[#This Row],[Date]]="","",IF(tblWaste[[#This Row],[Unit]]="kg",tblWaste[[#This Row],[Weight]],IF(tblWaste[[#This Row],[Unit]]="t",tblWaste[[#This Row],[Weight]]*1000,IF(tblWaste[[#This Row],[Unit]]="lb",tblWaste[[#This Row],[Weight]]*0.45359237,IF(tblWaste[[#This Row],[Unit]]="US ton",tblWaste[[#This Row],[Weight]]*907.18474,"")))))</f>
        <v>2250</v>
      </c>
      <c r="L116" s="38" t="str">
        <f>IF(tblWaste[[#This Row],[Date]]="","",IFERROR(INDEX(tblRoutes[Class],MATCH(tblWaste[[#This Row],[Route]],tblRoutes[Route],0)),""))</f>
        <v>Disposal</v>
      </c>
      <c r="M116" s="38" t="str">
        <f>IF(tblWaste[[#This Row],[Date]]="","",IFERROR(INDEX(tblStreams[Hazardous],MATCH(tblWaste[[#This Row],[Stream]],tblStreams[Stream],0)),""))</f>
        <v>No</v>
      </c>
      <c r="N116" s="37">
        <f>IF(tblWaste[[#This Row],[Date]]="","",IF(OR(tblWaste[[#This Row],[Weight (kg)]]="",tblWaste[[#This Row],[Class]]=""),"",IF(OR(tblWaste[[#This Row],[Class]]="Material recovery",AND(tblWaste[[#This Row],[Class]]="Energy recovery",CountER="Yes")),tblWaste[[#This Row],[Weight (kg)]],0)))</f>
        <v>0</v>
      </c>
      <c r="O116" s="30">
        <f>IF(tblWaste[[#This Row],[Date]]="","",N(tblWaste[[#This Row],[Charge]])-N(tblWaste[[#This Row],[Rebate]]))</f>
        <v>310.5</v>
      </c>
      <c r="P116" s="39">
        <f>IF(tblWaste[[#This Row],[Date]]="","",IF(AND(tblWaste[[#This Row],[Date]]&gt;=FFrom,tblWaste[[#This Row],[Date]]&lt;=FTo),tblWaste[[#This Row],[Date]],""))</f>
        <v>46145</v>
      </c>
      <c r="Q11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16" s="28" t="s">
        <v>86</v>
      </c>
    </row>
    <row r="117" spans="2:18">
      <c r="B117" s="35">
        <v>46146</v>
      </c>
      <c r="C117" s="28" t="s">
        <v>248</v>
      </c>
      <c r="D117" s="28" t="s">
        <v>87</v>
      </c>
      <c r="E117" s="28" t="s">
        <v>109</v>
      </c>
      <c r="F117" s="28" t="s">
        <v>133</v>
      </c>
      <c r="G117" s="36">
        <v>2870</v>
      </c>
      <c r="H117" s="28" t="s">
        <v>77</v>
      </c>
      <c r="I117" s="36">
        <v>0</v>
      </c>
      <c r="J117" s="36">
        <v>114.8</v>
      </c>
      <c r="K117" s="37">
        <f>IF(tblWaste[[#This Row],[Date]]="","",IF(tblWaste[[#This Row],[Unit]]="kg",tblWaste[[#This Row],[Weight]],IF(tblWaste[[#This Row],[Unit]]="t",tblWaste[[#This Row],[Weight]]*1000,IF(tblWaste[[#This Row],[Unit]]="lb",tblWaste[[#This Row],[Weight]]*0.45359237,IF(tblWaste[[#This Row],[Unit]]="US ton",tblWaste[[#This Row],[Weight]]*907.18474,"")))))</f>
        <v>2870</v>
      </c>
      <c r="L117" s="38" t="str">
        <f>IF(tblWaste[[#This Row],[Date]]="","",IFERROR(INDEX(tblRoutes[Class],MATCH(tblWaste[[#This Row],[Route]],tblRoutes[Route],0)),""))</f>
        <v>Material recovery</v>
      </c>
      <c r="M117" s="38" t="str">
        <f>IF(tblWaste[[#This Row],[Date]]="","",IFERROR(INDEX(tblStreams[Hazardous],MATCH(tblWaste[[#This Row],[Stream]],tblStreams[Stream],0)),""))</f>
        <v>No</v>
      </c>
      <c r="N117" s="37">
        <f>IF(tblWaste[[#This Row],[Date]]="","",IF(OR(tblWaste[[#This Row],[Weight (kg)]]="",tblWaste[[#This Row],[Class]]=""),"",IF(OR(tblWaste[[#This Row],[Class]]="Material recovery",AND(tblWaste[[#This Row],[Class]]="Energy recovery",CountER="Yes")),tblWaste[[#This Row],[Weight (kg)]],0)))</f>
        <v>2870</v>
      </c>
      <c r="O117" s="30">
        <f>IF(tblWaste[[#This Row],[Date]]="","",N(tblWaste[[#This Row],[Charge]])-N(tblWaste[[#This Row],[Rebate]]))</f>
        <v>-114.8</v>
      </c>
      <c r="P117" s="39">
        <f>IF(tblWaste[[#This Row],[Date]]="","",IF(AND(tblWaste[[#This Row],[Date]]&gt;=FFrom,tblWaste[[#This Row],[Date]]&lt;=FTo),tblWaste[[#This Row],[Date]],""))</f>
        <v>46146</v>
      </c>
      <c r="Q11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17" s="28" t="s">
        <v>86</v>
      </c>
    </row>
    <row r="118" spans="2:18">
      <c r="B118" s="35">
        <v>46146</v>
      </c>
      <c r="C118" s="28" t="s">
        <v>249</v>
      </c>
      <c r="D118" s="28" t="s">
        <v>95</v>
      </c>
      <c r="E118" s="28" t="s">
        <v>111</v>
      </c>
      <c r="F118" s="28" t="s">
        <v>136</v>
      </c>
      <c r="G118" s="36">
        <v>240</v>
      </c>
      <c r="H118" s="28" t="s">
        <v>77</v>
      </c>
      <c r="I118" s="36">
        <v>67.8</v>
      </c>
      <c r="J118" s="36">
        <v>0</v>
      </c>
      <c r="K118" s="37">
        <f>IF(tblWaste[[#This Row],[Date]]="","",IF(tblWaste[[#This Row],[Unit]]="kg",tblWaste[[#This Row],[Weight]],IF(tblWaste[[#This Row],[Unit]]="t",tblWaste[[#This Row],[Weight]]*1000,IF(tblWaste[[#This Row],[Unit]]="lb",tblWaste[[#This Row],[Weight]]*0.45359237,IF(tblWaste[[#This Row],[Unit]]="US ton",tblWaste[[#This Row],[Weight]]*907.18474,"")))))</f>
        <v>240</v>
      </c>
      <c r="L118" s="38" t="str">
        <f>IF(tblWaste[[#This Row],[Date]]="","",IFERROR(INDEX(tblRoutes[Class],MATCH(tblWaste[[#This Row],[Route]],tblRoutes[Route],0)),""))</f>
        <v>Material recovery</v>
      </c>
      <c r="M118" s="38" t="str">
        <f>IF(tblWaste[[#This Row],[Date]]="","",IFERROR(INDEX(tblStreams[Hazardous],MATCH(tblWaste[[#This Row],[Stream]],tblStreams[Stream],0)),""))</f>
        <v>No</v>
      </c>
      <c r="N118" s="37">
        <f>IF(tblWaste[[#This Row],[Date]]="","",IF(OR(tblWaste[[#This Row],[Weight (kg)]]="",tblWaste[[#This Row],[Class]]=""),"",IF(OR(tblWaste[[#This Row],[Class]]="Material recovery",AND(tblWaste[[#This Row],[Class]]="Energy recovery",CountER="Yes")),tblWaste[[#This Row],[Weight (kg)]],0)))</f>
        <v>240</v>
      </c>
      <c r="O118" s="30">
        <f>IF(tblWaste[[#This Row],[Date]]="","",N(tblWaste[[#This Row],[Charge]])-N(tblWaste[[#This Row],[Rebate]]))</f>
        <v>67.8</v>
      </c>
      <c r="P118" s="39">
        <f>IF(tblWaste[[#This Row],[Date]]="","",IF(AND(tblWaste[[#This Row],[Date]]&gt;=FFrom,tblWaste[[#This Row],[Date]]&lt;=FTo),tblWaste[[#This Row],[Date]],""))</f>
        <v>46146</v>
      </c>
      <c r="Q11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18" s="28" t="s">
        <v>86</v>
      </c>
    </row>
    <row r="119" spans="2:18">
      <c r="B119" s="35">
        <v>46147</v>
      </c>
      <c r="C119" s="28" t="s">
        <v>250</v>
      </c>
      <c r="D119" s="28" t="s">
        <v>90</v>
      </c>
      <c r="E119" s="28" t="s">
        <v>106</v>
      </c>
      <c r="F119" s="28" t="s">
        <v>138</v>
      </c>
      <c r="G119" s="36">
        <v>1780</v>
      </c>
      <c r="H119" s="28" t="s">
        <v>77</v>
      </c>
      <c r="I119" s="36">
        <v>107.3</v>
      </c>
      <c r="J119" s="36">
        <v>0</v>
      </c>
      <c r="K119" s="37">
        <f>IF(tblWaste[[#This Row],[Date]]="","",IF(tblWaste[[#This Row],[Unit]]="kg",tblWaste[[#This Row],[Weight]],IF(tblWaste[[#This Row],[Unit]]="t",tblWaste[[#This Row],[Weight]]*1000,IF(tblWaste[[#This Row],[Unit]]="lb",tblWaste[[#This Row],[Weight]]*0.45359237,IF(tblWaste[[#This Row],[Unit]]="US ton",tblWaste[[#This Row],[Weight]]*907.18474,"")))))</f>
        <v>1780</v>
      </c>
      <c r="L119" s="38" t="str">
        <f>IF(tblWaste[[#This Row],[Date]]="","",IFERROR(INDEX(tblRoutes[Class],MATCH(tblWaste[[#This Row],[Route]],tblRoutes[Route],0)),""))</f>
        <v>Material recovery</v>
      </c>
      <c r="M119" s="38" t="str">
        <f>IF(tblWaste[[#This Row],[Date]]="","",IFERROR(INDEX(tblStreams[Hazardous],MATCH(tblWaste[[#This Row],[Stream]],tblStreams[Stream],0)),""))</f>
        <v>No</v>
      </c>
      <c r="N119" s="37">
        <f>IF(tblWaste[[#This Row],[Date]]="","",IF(OR(tblWaste[[#This Row],[Weight (kg)]]="",tblWaste[[#This Row],[Class]]=""),"",IF(OR(tblWaste[[#This Row],[Class]]="Material recovery",AND(tblWaste[[#This Row],[Class]]="Energy recovery",CountER="Yes")),tblWaste[[#This Row],[Weight (kg)]],0)))</f>
        <v>1780</v>
      </c>
      <c r="O119" s="30">
        <f>IF(tblWaste[[#This Row],[Date]]="","",N(tblWaste[[#This Row],[Charge]])-N(tblWaste[[#This Row],[Rebate]]))</f>
        <v>107.3</v>
      </c>
      <c r="P119" s="39">
        <f>IF(tblWaste[[#This Row],[Date]]="","",IF(AND(tblWaste[[#This Row],[Date]]&gt;=FFrom,tblWaste[[#This Row],[Date]]&lt;=FTo),tblWaste[[#This Row],[Date]],""))</f>
        <v>46147</v>
      </c>
      <c r="Q11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19" s="28" t="s">
        <v>86</v>
      </c>
    </row>
    <row r="120" spans="2:18">
      <c r="B120" s="35">
        <v>46147</v>
      </c>
      <c r="C120" s="28" t="s">
        <v>251</v>
      </c>
      <c r="D120" s="28" t="s">
        <v>93</v>
      </c>
      <c r="E120" s="28" t="s">
        <v>109</v>
      </c>
      <c r="F120" s="28" t="s">
        <v>140</v>
      </c>
      <c r="G120" s="36">
        <v>1220</v>
      </c>
      <c r="H120" s="28" t="s">
        <v>77</v>
      </c>
      <c r="I120" s="36">
        <v>0</v>
      </c>
      <c r="J120" s="36">
        <v>176.9</v>
      </c>
      <c r="K120" s="37">
        <f>IF(tblWaste[[#This Row],[Date]]="","",IF(tblWaste[[#This Row],[Unit]]="kg",tblWaste[[#This Row],[Weight]],IF(tblWaste[[#This Row],[Unit]]="t",tblWaste[[#This Row],[Weight]]*1000,IF(tblWaste[[#This Row],[Unit]]="lb",tblWaste[[#This Row],[Weight]]*0.45359237,IF(tblWaste[[#This Row],[Unit]]="US ton",tblWaste[[#This Row],[Weight]]*907.18474,"")))))</f>
        <v>1220</v>
      </c>
      <c r="L120" s="38" t="str">
        <f>IF(tblWaste[[#This Row],[Date]]="","",IFERROR(INDEX(tblRoutes[Class],MATCH(tblWaste[[#This Row],[Route]],tblRoutes[Route],0)),""))</f>
        <v>Material recovery</v>
      </c>
      <c r="M120" s="38" t="str">
        <f>IF(tblWaste[[#This Row],[Date]]="","",IFERROR(INDEX(tblStreams[Hazardous],MATCH(tblWaste[[#This Row],[Stream]],tblStreams[Stream],0)),""))</f>
        <v>No</v>
      </c>
      <c r="N120" s="37">
        <f>IF(tblWaste[[#This Row],[Date]]="","",IF(OR(tblWaste[[#This Row],[Weight (kg)]]="",tblWaste[[#This Row],[Class]]=""),"",IF(OR(tblWaste[[#This Row],[Class]]="Material recovery",AND(tblWaste[[#This Row],[Class]]="Energy recovery",CountER="Yes")),tblWaste[[#This Row],[Weight (kg)]],0)))</f>
        <v>1220</v>
      </c>
      <c r="O120" s="30">
        <f>IF(tblWaste[[#This Row],[Date]]="","",N(tblWaste[[#This Row],[Charge]])-N(tblWaste[[#This Row],[Rebate]]))</f>
        <v>-176.9</v>
      </c>
      <c r="P120" s="39">
        <f>IF(tblWaste[[#This Row],[Date]]="","",IF(AND(tblWaste[[#This Row],[Date]]&gt;=FFrom,tblWaste[[#This Row],[Date]]&lt;=FTo),tblWaste[[#This Row],[Date]],""))</f>
        <v>46147</v>
      </c>
      <c r="Q12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20" s="28" t="s">
        <v>86</v>
      </c>
    </row>
    <row r="121" spans="2:18">
      <c r="B121" s="35">
        <v>46148</v>
      </c>
      <c r="C121" s="28" t="s">
        <v>252</v>
      </c>
      <c r="D121" s="28" t="s">
        <v>85</v>
      </c>
      <c r="E121" s="28" t="s">
        <v>109</v>
      </c>
      <c r="F121" s="28" t="s">
        <v>133</v>
      </c>
      <c r="G121" s="36">
        <v>830</v>
      </c>
      <c r="H121" s="28" t="s">
        <v>77</v>
      </c>
      <c r="I121" s="36">
        <v>0</v>
      </c>
      <c r="J121" s="36">
        <v>16.6</v>
      </c>
      <c r="K121" s="37">
        <f>IF(tblWaste[[#This Row],[Date]]="","",IF(tblWaste[[#This Row],[Unit]]="kg",tblWaste[[#This Row],[Weight]],IF(tblWaste[[#This Row],[Unit]]="t",tblWaste[[#This Row],[Weight]]*1000,IF(tblWaste[[#This Row],[Unit]]="lb",tblWaste[[#This Row],[Weight]]*0.45359237,IF(tblWaste[[#This Row],[Unit]]="US ton",tblWaste[[#This Row],[Weight]]*907.18474,"")))))</f>
        <v>830</v>
      </c>
      <c r="L121" s="38" t="str">
        <f>IF(tblWaste[[#This Row],[Date]]="","",IFERROR(INDEX(tblRoutes[Class],MATCH(tblWaste[[#This Row],[Route]],tblRoutes[Route],0)),""))</f>
        <v>Material recovery</v>
      </c>
      <c r="M121" s="38" t="str">
        <f>IF(tblWaste[[#This Row],[Date]]="","",IFERROR(INDEX(tblStreams[Hazardous],MATCH(tblWaste[[#This Row],[Stream]],tblStreams[Stream],0)),""))</f>
        <v>No</v>
      </c>
      <c r="N121" s="37">
        <f>IF(tblWaste[[#This Row],[Date]]="","",IF(OR(tblWaste[[#This Row],[Weight (kg)]]="",tblWaste[[#This Row],[Class]]=""),"",IF(OR(tblWaste[[#This Row],[Class]]="Material recovery",AND(tblWaste[[#This Row],[Class]]="Energy recovery",CountER="Yes")),tblWaste[[#This Row],[Weight (kg)]],0)))</f>
        <v>830</v>
      </c>
      <c r="O121" s="30">
        <f>IF(tblWaste[[#This Row],[Date]]="","",N(tblWaste[[#This Row],[Charge]])-N(tblWaste[[#This Row],[Rebate]]))</f>
        <v>-16.6</v>
      </c>
      <c r="P121" s="39">
        <f>IF(tblWaste[[#This Row],[Date]]="","",IF(AND(tblWaste[[#This Row],[Date]]&gt;=FFrom,tblWaste[[#This Row],[Date]]&lt;=FTo),tblWaste[[#This Row],[Date]],""))</f>
        <v>46148</v>
      </c>
      <c r="Q12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21" s="28" t="s">
        <v>86</v>
      </c>
    </row>
    <row r="122" spans="2:18">
      <c r="B122" s="35">
        <v>46153</v>
      </c>
      <c r="C122" s="28" t="s">
        <v>253</v>
      </c>
      <c r="D122" s="28" t="s">
        <v>87</v>
      </c>
      <c r="E122" s="28" t="s">
        <v>109</v>
      </c>
      <c r="F122" s="28" t="s">
        <v>133</v>
      </c>
      <c r="G122" s="36">
        <v>2510</v>
      </c>
      <c r="H122" s="28" t="s">
        <v>77</v>
      </c>
      <c r="I122" s="36">
        <v>0</v>
      </c>
      <c r="J122" s="36">
        <v>100.4</v>
      </c>
      <c r="K122" s="37">
        <f>IF(tblWaste[[#This Row],[Date]]="","",IF(tblWaste[[#This Row],[Unit]]="kg",tblWaste[[#This Row],[Weight]],IF(tblWaste[[#This Row],[Unit]]="t",tblWaste[[#This Row],[Weight]]*1000,IF(tblWaste[[#This Row],[Unit]]="lb",tblWaste[[#This Row],[Weight]]*0.45359237,IF(tblWaste[[#This Row],[Unit]]="US ton",tblWaste[[#This Row],[Weight]]*907.18474,"")))))</f>
        <v>2510</v>
      </c>
      <c r="L122" s="38" t="str">
        <f>IF(tblWaste[[#This Row],[Date]]="","",IFERROR(INDEX(tblRoutes[Class],MATCH(tblWaste[[#This Row],[Route]],tblRoutes[Route],0)),""))</f>
        <v>Material recovery</v>
      </c>
      <c r="M122" s="38" t="str">
        <f>IF(tblWaste[[#This Row],[Date]]="","",IFERROR(INDEX(tblStreams[Hazardous],MATCH(tblWaste[[#This Row],[Stream]],tblStreams[Stream],0)),""))</f>
        <v>No</v>
      </c>
      <c r="N122" s="37">
        <f>IF(tblWaste[[#This Row],[Date]]="","",IF(OR(tblWaste[[#This Row],[Weight (kg)]]="",tblWaste[[#This Row],[Class]]=""),"",IF(OR(tblWaste[[#This Row],[Class]]="Material recovery",AND(tblWaste[[#This Row],[Class]]="Energy recovery",CountER="Yes")),tblWaste[[#This Row],[Weight (kg)]],0)))</f>
        <v>2510</v>
      </c>
      <c r="O122" s="30">
        <f>IF(tblWaste[[#This Row],[Date]]="","",N(tblWaste[[#This Row],[Charge]])-N(tblWaste[[#This Row],[Rebate]]))</f>
        <v>-100.4</v>
      </c>
      <c r="P122" s="39">
        <f>IF(tblWaste[[#This Row],[Date]]="","",IF(AND(tblWaste[[#This Row],[Date]]&gt;=FFrom,tblWaste[[#This Row],[Date]]&lt;=FTo),tblWaste[[#This Row],[Date]],""))</f>
        <v>46153</v>
      </c>
      <c r="Q12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22" s="28" t="s">
        <v>86</v>
      </c>
    </row>
    <row r="123" spans="2:18">
      <c r="B123" s="35">
        <v>46153</v>
      </c>
      <c r="C123" s="28" t="s">
        <v>254</v>
      </c>
      <c r="D123" s="28" t="s">
        <v>95</v>
      </c>
      <c r="E123" s="28" t="s">
        <v>111</v>
      </c>
      <c r="F123" s="28" t="s">
        <v>136</v>
      </c>
      <c r="G123" s="36">
        <v>300</v>
      </c>
      <c r="H123" s="28" t="s">
        <v>77</v>
      </c>
      <c r="I123" s="36">
        <v>73.5</v>
      </c>
      <c r="J123" s="36">
        <v>0</v>
      </c>
      <c r="K123" s="37">
        <f>IF(tblWaste[[#This Row],[Date]]="","",IF(tblWaste[[#This Row],[Unit]]="kg",tblWaste[[#This Row],[Weight]],IF(tblWaste[[#This Row],[Unit]]="t",tblWaste[[#This Row],[Weight]]*1000,IF(tblWaste[[#This Row],[Unit]]="lb",tblWaste[[#This Row],[Weight]]*0.45359237,IF(tblWaste[[#This Row],[Unit]]="US ton",tblWaste[[#This Row],[Weight]]*907.18474,"")))))</f>
        <v>300</v>
      </c>
      <c r="L123" s="38" t="str">
        <f>IF(tblWaste[[#This Row],[Date]]="","",IFERROR(INDEX(tblRoutes[Class],MATCH(tblWaste[[#This Row],[Route]],tblRoutes[Route],0)),""))</f>
        <v>Material recovery</v>
      </c>
      <c r="M123" s="38" t="str">
        <f>IF(tblWaste[[#This Row],[Date]]="","",IFERROR(INDEX(tblStreams[Hazardous],MATCH(tblWaste[[#This Row],[Stream]],tblStreams[Stream],0)),""))</f>
        <v>No</v>
      </c>
      <c r="N123" s="37">
        <f>IF(tblWaste[[#This Row],[Date]]="","",IF(OR(tblWaste[[#This Row],[Weight (kg)]]="",tblWaste[[#This Row],[Class]]=""),"",IF(OR(tblWaste[[#This Row],[Class]]="Material recovery",AND(tblWaste[[#This Row],[Class]]="Energy recovery",CountER="Yes")),tblWaste[[#This Row],[Weight (kg)]],0)))</f>
        <v>300</v>
      </c>
      <c r="O123" s="30">
        <f>IF(tblWaste[[#This Row],[Date]]="","",N(tblWaste[[#This Row],[Charge]])-N(tblWaste[[#This Row],[Rebate]]))</f>
        <v>73.5</v>
      </c>
      <c r="P123" s="39">
        <f>IF(tblWaste[[#This Row],[Date]]="","",IF(AND(tblWaste[[#This Row],[Date]]&gt;=FFrom,tblWaste[[#This Row],[Date]]&lt;=FTo),tblWaste[[#This Row],[Date]],""))</f>
        <v>46153</v>
      </c>
      <c r="Q12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23" s="28" t="s">
        <v>86</v>
      </c>
    </row>
    <row r="124" spans="2:18">
      <c r="B124" s="35">
        <v>46155</v>
      </c>
      <c r="C124" s="28" t="s">
        <v>255</v>
      </c>
      <c r="D124" s="28" t="s">
        <v>81</v>
      </c>
      <c r="E124" s="28" t="s">
        <v>109</v>
      </c>
      <c r="F124" s="28" t="s">
        <v>133</v>
      </c>
      <c r="G124" s="36">
        <v>5.68</v>
      </c>
      <c r="H124" s="28" t="s">
        <v>75</v>
      </c>
      <c r="I124" s="36">
        <v>0</v>
      </c>
      <c r="J124" s="36">
        <v>352.16</v>
      </c>
      <c r="K124" s="37">
        <f>IF(tblWaste[[#This Row],[Date]]="","",IF(tblWaste[[#This Row],[Unit]]="kg",tblWaste[[#This Row],[Weight]],IF(tblWaste[[#This Row],[Unit]]="t",tblWaste[[#This Row],[Weight]]*1000,IF(tblWaste[[#This Row],[Unit]]="lb",tblWaste[[#This Row],[Weight]]*0.45359237,IF(tblWaste[[#This Row],[Unit]]="US ton",tblWaste[[#This Row],[Weight]]*907.18474,"")))))</f>
        <v>5680</v>
      </c>
      <c r="L124" s="38" t="str">
        <f>IF(tblWaste[[#This Row],[Date]]="","",IFERROR(INDEX(tblRoutes[Class],MATCH(tblWaste[[#This Row],[Route]],tblRoutes[Route],0)),""))</f>
        <v>Material recovery</v>
      </c>
      <c r="M124" s="38" t="str">
        <f>IF(tblWaste[[#This Row],[Date]]="","",IFERROR(INDEX(tblStreams[Hazardous],MATCH(tblWaste[[#This Row],[Stream]],tblStreams[Stream],0)),""))</f>
        <v>No</v>
      </c>
      <c r="N124" s="37">
        <f>IF(tblWaste[[#This Row],[Date]]="","",IF(OR(tblWaste[[#This Row],[Weight (kg)]]="",tblWaste[[#This Row],[Class]]=""),"",IF(OR(tblWaste[[#This Row],[Class]]="Material recovery",AND(tblWaste[[#This Row],[Class]]="Energy recovery",CountER="Yes")),tblWaste[[#This Row],[Weight (kg)]],0)))</f>
        <v>5680</v>
      </c>
      <c r="O124" s="30">
        <f>IF(tblWaste[[#This Row],[Date]]="","",N(tblWaste[[#This Row],[Charge]])-N(tblWaste[[#This Row],[Rebate]]))</f>
        <v>-352.16</v>
      </c>
      <c r="P124" s="39">
        <f>IF(tblWaste[[#This Row],[Date]]="","",IF(AND(tblWaste[[#This Row],[Date]]&gt;=FFrom,tblWaste[[#This Row],[Date]]&lt;=FTo),tblWaste[[#This Row],[Date]],""))</f>
        <v>46155</v>
      </c>
      <c r="Q12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24" s="28" t="s">
        <v>86</v>
      </c>
    </row>
    <row r="125" spans="2:18">
      <c r="B125" s="35">
        <v>46155</v>
      </c>
      <c r="C125" s="28" t="s">
        <v>256</v>
      </c>
      <c r="D125" s="28" t="s">
        <v>100</v>
      </c>
      <c r="E125" s="28" t="s">
        <v>118</v>
      </c>
      <c r="F125" s="28" t="s">
        <v>136</v>
      </c>
      <c r="G125" s="36">
        <v>1960</v>
      </c>
      <c r="H125" s="28" t="s">
        <v>77</v>
      </c>
      <c r="I125" s="36">
        <v>276.28</v>
      </c>
      <c r="J125" s="36">
        <v>0</v>
      </c>
      <c r="K125" s="37">
        <f>IF(tblWaste[[#This Row],[Date]]="","",IF(tblWaste[[#This Row],[Unit]]="kg",tblWaste[[#This Row],[Weight]],IF(tblWaste[[#This Row],[Unit]]="t",tblWaste[[#This Row],[Weight]]*1000,IF(tblWaste[[#This Row],[Unit]]="lb",tblWaste[[#This Row],[Weight]]*0.45359237,IF(tblWaste[[#This Row],[Unit]]="US ton",tblWaste[[#This Row],[Weight]]*907.18474,"")))))</f>
        <v>1960</v>
      </c>
      <c r="L125" s="38" t="str">
        <f>IF(tblWaste[[#This Row],[Date]]="","",IFERROR(INDEX(tblRoutes[Class],MATCH(tblWaste[[#This Row],[Route]],tblRoutes[Route],0)),""))</f>
        <v>Disposal</v>
      </c>
      <c r="M125" s="38" t="str">
        <f>IF(tblWaste[[#This Row],[Date]]="","",IFERROR(INDEX(tblStreams[Hazardous],MATCH(tblWaste[[#This Row],[Stream]],tblStreams[Stream],0)),""))</f>
        <v>No</v>
      </c>
      <c r="N125" s="37">
        <f>IF(tblWaste[[#This Row],[Date]]="","",IF(OR(tblWaste[[#This Row],[Weight (kg)]]="",tblWaste[[#This Row],[Class]]=""),"",IF(OR(tblWaste[[#This Row],[Class]]="Material recovery",AND(tblWaste[[#This Row],[Class]]="Energy recovery",CountER="Yes")),tblWaste[[#This Row],[Weight (kg)]],0)))</f>
        <v>0</v>
      </c>
      <c r="O125" s="30">
        <f>IF(tblWaste[[#This Row],[Date]]="","",N(tblWaste[[#This Row],[Charge]])-N(tblWaste[[#This Row],[Rebate]]))</f>
        <v>276.28</v>
      </c>
      <c r="P125" s="39">
        <f>IF(tblWaste[[#This Row],[Date]]="","",IF(AND(tblWaste[[#This Row],[Date]]&gt;=FFrom,tblWaste[[#This Row],[Date]]&lt;=FTo),tblWaste[[#This Row],[Date]],""))</f>
        <v>46155</v>
      </c>
      <c r="Q12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25" s="28" t="s">
        <v>86</v>
      </c>
    </row>
    <row r="126" spans="2:18">
      <c r="B126" s="35">
        <v>46160</v>
      </c>
      <c r="C126" s="28" t="s">
        <v>257</v>
      </c>
      <c r="D126" s="28" t="s">
        <v>81</v>
      </c>
      <c r="E126" s="28" t="s">
        <v>109</v>
      </c>
      <c r="F126" s="28" t="s">
        <v>133</v>
      </c>
      <c r="G126" s="36">
        <v>4.8</v>
      </c>
      <c r="H126" s="28" t="s">
        <v>75</v>
      </c>
      <c r="I126" s="36">
        <v>0</v>
      </c>
      <c r="J126" s="36">
        <v>297.6</v>
      </c>
      <c r="K126" s="37">
        <f>IF(tblWaste[[#This Row],[Date]]="","",IF(tblWaste[[#This Row],[Unit]]="kg",tblWaste[[#This Row],[Weight]],IF(tblWaste[[#This Row],[Unit]]="t",tblWaste[[#This Row],[Weight]]*1000,IF(tblWaste[[#This Row],[Unit]]="lb",tblWaste[[#This Row],[Weight]]*0.45359237,IF(tblWaste[[#This Row],[Unit]]="US ton",tblWaste[[#This Row],[Weight]]*907.18474,"")))))</f>
        <v>4800</v>
      </c>
      <c r="L126" s="38" t="str">
        <f>IF(tblWaste[[#This Row],[Date]]="","",IFERROR(INDEX(tblRoutes[Class],MATCH(tblWaste[[#This Row],[Route]],tblRoutes[Route],0)),""))</f>
        <v>Material recovery</v>
      </c>
      <c r="M126" s="38" t="str">
        <f>IF(tblWaste[[#This Row],[Date]]="","",IFERROR(INDEX(tblStreams[Hazardous],MATCH(tblWaste[[#This Row],[Stream]],tblStreams[Stream],0)),""))</f>
        <v>No</v>
      </c>
      <c r="N126" s="37">
        <f>IF(tblWaste[[#This Row],[Date]]="","",IF(OR(tblWaste[[#This Row],[Weight (kg)]]="",tblWaste[[#This Row],[Class]]=""),"",IF(OR(tblWaste[[#This Row],[Class]]="Material recovery",AND(tblWaste[[#This Row],[Class]]="Energy recovery",CountER="Yes")),tblWaste[[#This Row],[Weight (kg)]],0)))</f>
        <v>4800</v>
      </c>
      <c r="O126" s="30">
        <f>IF(tblWaste[[#This Row],[Date]]="","",N(tblWaste[[#This Row],[Charge]])-N(tblWaste[[#This Row],[Rebate]]))</f>
        <v>-297.6</v>
      </c>
      <c r="P126" s="39">
        <f>IF(tblWaste[[#This Row],[Date]]="","",IF(AND(tblWaste[[#This Row],[Date]]&gt;=FFrom,tblWaste[[#This Row],[Date]]&lt;=FTo),tblWaste[[#This Row],[Date]],""))</f>
        <v>46160</v>
      </c>
      <c r="Q12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26" s="28" t="s">
        <v>86</v>
      </c>
    </row>
    <row r="127" spans="2:18">
      <c r="B127" s="35">
        <v>46162</v>
      </c>
      <c r="C127" s="28" t="s">
        <v>258</v>
      </c>
      <c r="D127" s="28" t="s">
        <v>100</v>
      </c>
      <c r="E127" s="28" t="s">
        <v>118</v>
      </c>
      <c r="F127" s="28" t="s">
        <v>136</v>
      </c>
      <c r="G127" s="36">
        <v>2050</v>
      </c>
      <c r="H127" s="28" t="s">
        <v>77</v>
      </c>
      <c r="I127" s="36">
        <v>286.9</v>
      </c>
      <c r="J127" s="36">
        <v>0</v>
      </c>
      <c r="K127" s="37">
        <f>IF(tblWaste[[#This Row],[Date]]="","",IF(tblWaste[[#This Row],[Unit]]="kg",tblWaste[[#This Row],[Weight]],IF(tblWaste[[#This Row],[Unit]]="t",tblWaste[[#This Row],[Weight]]*1000,IF(tblWaste[[#This Row],[Unit]]="lb",tblWaste[[#This Row],[Weight]]*0.45359237,IF(tblWaste[[#This Row],[Unit]]="US ton",tblWaste[[#This Row],[Weight]]*907.18474,"")))))</f>
        <v>2050</v>
      </c>
      <c r="L127" s="38" t="str">
        <f>IF(tblWaste[[#This Row],[Date]]="","",IFERROR(INDEX(tblRoutes[Class],MATCH(tblWaste[[#This Row],[Route]],tblRoutes[Route],0)),""))</f>
        <v>Disposal</v>
      </c>
      <c r="M127" s="38" t="str">
        <f>IF(tblWaste[[#This Row],[Date]]="","",IFERROR(INDEX(tblStreams[Hazardous],MATCH(tblWaste[[#This Row],[Stream]],tblStreams[Stream],0)),""))</f>
        <v>No</v>
      </c>
      <c r="N127" s="37">
        <f>IF(tblWaste[[#This Row],[Date]]="","",IF(OR(tblWaste[[#This Row],[Weight (kg)]]="",tblWaste[[#This Row],[Class]]=""),"",IF(OR(tblWaste[[#This Row],[Class]]="Material recovery",AND(tblWaste[[#This Row],[Class]]="Energy recovery",CountER="Yes")),tblWaste[[#This Row],[Weight (kg)]],0)))</f>
        <v>0</v>
      </c>
      <c r="O127" s="30">
        <f>IF(tblWaste[[#This Row],[Date]]="","",N(tblWaste[[#This Row],[Charge]])-N(tblWaste[[#This Row],[Rebate]]))</f>
        <v>286.9</v>
      </c>
      <c r="P127" s="39">
        <f>IF(tblWaste[[#This Row],[Date]]="","",IF(AND(tblWaste[[#This Row],[Date]]&gt;=FFrom,tblWaste[[#This Row],[Date]]&lt;=FTo),tblWaste[[#This Row],[Date]],""))</f>
        <v>46162</v>
      </c>
      <c r="Q12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27" s="28" t="s">
        <v>86</v>
      </c>
    </row>
    <row r="128" spans="2:18">
      <c r="B128" s="35">
        <v>46166</v>
      </c>
      <c r="C128" s="28" t="s">
        <v>259</v>
      </c>
      <c r="D128" s="28" t="s">
        <v>81</v>
      </c>
      <c r="E128" s="28" t="s">
        <v>109</v>
      </c>
      <c r="F128" s="28" t="s">
        <v>133</v>
      </c>
      <c r="G128" s="36">
        <v>5.15</v>
      </c>
      <c r="H128" s="28" t="s">
        <v>75</v>
      </c>
      <c r="I128" s="36">
        <v>0</v>
      </c>
      <c r="J128" s="36">
        <v>319.3</v>
      </c>
      <c r="K128" s="37">
        <f>IF(tblWaste[[#This Row],[Date]]="","",IF(tblWaste[[#This Row],[Unit]]="kg",tblWaste[[#This Row],[Weight]],IF(tblWaste[[#This Row],[Unit]]="t",tblWaste[[#This Row],[Weight]]*1000,IF(tblWaste[[#This Row],[Unit]]="lb",tblWaste[[#This Row],[Weight]]*0.45359237,IF(tblWaste[[#This Row],[Unit]]="US ton",tblWaste[[#This Row],[Weight]]*907.18474,"")))))</f>
        <v>5150</v>
      </c>
      <c r="L128" s="38" t="str">
        <f>IF(tblWaste[[#This Row],[Date]]="","",IFERROR(INDEX(tblRoutes[Class],MATCH(tblWaste[[#This Row],[Route]],tblRoutes[Route],0)),""))</f>
        <v>Material recovery</v>
      </c>
      <c r="M128" s="38" t="str">
        <f>IF(tblWaste[[#This Row],[Date]]="","",IFERROR(INDEX(tblStreams[Hazardous],MATCH(tblWaste[[#This Row],[Stream]],tblStreams[Stream],0)),""))</f>
        <v>No</v>
      </c>
      <c r="N128" s="37">
        <f>IF(tblWaste[[#This Row],[Date]]="","",IF(OR(tblWaste[[#This Row],[Weight (kg)]]="",tblWaste[[#This Row],[Class]]=""),"",IF(OR(tblWaste[[#This Row],[Class]]="Material recovery",AND(tblWaste[[#This Row],[Class]]="Energy recovery",CountER="Yes")),tblWaste[[#This Row],[Weight (kg)]],0)))</f>
        <v>5150</v>
      </c>
      <c r="O128" s="30">
        <f>IF(tblWaste[[#This Row],[Date]]="","",N(tblWaste[[#This Row],[Charge]])-N(tblWaste[[#This Row],[Rebate]]))</f>
        <v>-319.3</v>
      </c>
      <c r="P128" s="39">
        <f>IF(tblWaste[[#This Row],[Date]]="","",IF(AND(tblWaste[[#This Row],[Date]]&gt;=FFrom,tblWaste[[#This Row],[Date]]&lt;=FTo),tblWaste[[#This Row],[Date]],""))</f>
        <v>46166</v>
      </c>
      <c r="Q12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28" s="28" t="s">
        <v>86</v>
      </c>
    </row>
    <row r="129" spans="2:18">
      <c r="B129" s="35">
        <v>46166</v>
      </c>
      <c r="C129" s="28" t="s">
        <v>260</v>
      </c>
      <c r="D129" s="28" t="s">
        <v>100</v>
      </c>
      <c r="E129" s="28" t="s">
        <v>118</v>
      </c>
      <c r="F129" s="28" t="s">
        <v>136</v>
      </c>
      <c r="G129" s="36">
        <v>2170</v>
      </c>
      <c r="H129" s="28" t="s">
        <v>77</v>
      </c>
      <c r="I129" s="36">
        <v>301.06</v>
      </c>
      <c r="J129" s="36">
        <v>0</v>
      </c>
      <c r="K129" s="37">
        <f>IF(tblWaste[[#This Row],[Date]]="","",IF(tblWaste[[#This Row],[Unit]]="kg",tblWaste[[#This Row],[Weight]],IF(tblWaste[[#This Row],[Unit]]="t",tblWaste[[#This Row],[Weight]]*1000,IF(tblWaste[[#This Row],[Unit]]="lb",tblWaste[[#This Row],[Weight]]*0.45359237,IF(tblWaste[[#This Row],[Unit]]="US ton",tblWaste[[#This Row],[Weight]]*907.18474,"")))))</f>
        <v>2170</v>
      </c>
      <c r="L129" s="38" t="str">
        <f>IF(tblWaste[[#This Row],[Date]]="","",IFERROR(INDEX(tblRoutes[Class],MATCH(tblWaste[[#This Row],[Route]],tblRoutes[Route],0)),""))</f>
        <v>Disposal</v>
      </c>
      <c r="M129" s="38" t="str">
        <f>IF(tblWaste[[#This Row],[Date]]="","",IFERROR(INDEX(tblStreams[Hazardous],MATCH(tblWaste[[#This Row],[Stream]],tblStreams[Stream],0)),""))</f>
        <v>No</v>
      </c>
      <c r="N129" s="37">
        <f>IF(tblWaste[[#This Row],[Date]]="","",IF(OR(tblWaste[[#This Row],[Weight (kg)]]="",tblWaste[[#This Row],[Class]]=""),"",IF(OR(tblWaste[[#This Row],[Class]]="Material recovery",AND(tblWaste[[#This Row],[Class]]="Energy recovery",CountER="Yes")),tblWaste[[#This Row],[Weight (kg)]],0)))</f>
        <v>0</v>
      </c>
      <c r="O129" s="30">
        <f>IF(tblWaste[[#This Row],[Date]]="","",N(tblWaste[[#This Row],[Charge]])-N(tblWaste[[#This Row],[Rebate]]))</f>
        <v>301.06</v>
      </c>
      <c r="P129" s="39">
        <f>IF(tblWaste[[#This Row],[Date]]="","",IF(AND(tblWaste[[#This Row],[Date]]&gt;=FFrom,tblWaste[[#This Row],[Date]]&lt;=FTo),tblWaste[[#This Row],[Date]],""))</f>
        <v>46166</v>
      </c>
      <c r="Q12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29" s="28" t="s">
        <v>86</v>
      </c>
    </row>
    <row r="130" spans="2:18">
      <c r="B130" s="35">
        <v>46176</v>
      </c>
      <c r="C130" s="28" t="s">
        <v>261</v>
      </c>
      <c r="D130" s="28" t="s">
        <v>87</v>
      </c>
      <c r="E130" s="28" t="s">
        <v>109</v>
      </c>
      <c r="F130" s="28" t="s">
        <v>133</v>
      </c>
      <c r="G130" s="36">
        <v>2640</v>
      </c>
      <c r="H130" s="28" t="s">
        <v>77</v>
      </c>
      <c r="I130" s="36">
        <v>0</v>
      </c>
      <c r="J130" s="36">
        <v>105.6</v>
      </c>
      <c r="K130" s="37">
        <f>IF(tblWaste[[#This Row],[Date]]="","",IF(tblWaste[[#This Row],[Unit]]="kg",tblWaste[[#This Row],[Weight]],IF(tblWaste[[#This Row],[Unit]]="t",tblWaste[[#This Row],[Weight]]*1000,IF(tblWaste[[#This Row],[Unit]]="lb",tblWaste[[#This Row],[Weight]]*0.45359237,IF(tblWaste[[#This Row],[Unit]]="US ton",tblWaste[[#This Row],[Weight]]*907.18474,"")))))</f>
        <v>2640</v>
      </c>
      <c r="L130" s="38" t="str">
        <f>IF(tblWaste[[#This Row],[Date]]="","",IFERROR(INDEX(tblRoutes[Class],MATCH(tblWaste[[#This Row],[Route]],tblRoutes[Route],0)),""))</f>
        <v>Material recovery</v>
      </c>
      <c r="M130" s="38" t="str">
        <f>IF(tblWaste[[#This Row],[Date]]="","",IFERROR(INDEX(tblStreams[Hazardous],MATCH(tblWaste[[#This Row],[Stream]],tblStreams[Stream],0)),""))</f>
        <v>No</v>
      </c>
      <c r="N130" s="37">
        <f>IF(tblWaste[[#This Row],[Date]]="","",IF(OR(tblWaste[[#This Row],[Weight (kg)]]="",tblWaste[[#This Row],[Class]]=""),"",IF(OR(tblWaste[[#This Row],[Class]]="Material recovery",AND(tblWaste[[#This Row],[Class]]="Energy recovery",CountER="Yes")),tblWaste[[#This Row],[Weight (kg)]],0)))</f>
        <v>2640</v>
      </c>
      <c r="O130" s="30">
        <f>IF(tblWaste[[#This Row],[Date]]="","",N(tblWaste[[#This Row],[Charge]])-N(tblWaste[[#This Row],[Rebate]]))</f>
        <v>-105.6</v>
      </c>
      <c r="P130" s="39">
        <f>IF(tblWaste[[#This Row],[Date]]="","",IF(AND(tblWaste[[#This Row],[Date]]&gt;=FFrom,tblWaste[[#This Row],[Date]]&lt;=FTo),tblWaste[[#This Row],[Date]],""))</f>
        <v>46176</v>
      </c>
      <c r="Q13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30" s="28" t="s">
        <v>86</v>
      </c>
    </row>
    <row r="131" spans="2:18">
      <c r="B131" s="35">
        <v>46176</v>
      </c>
      <c r="C131" s="28" t="s">
        <v>262</v>
      </c>
      <c r="D131" s="28" t="s">
        <v>90</v>
      </c>
      <c r="E131" s="28" t="s">
        <v>109</v>
      </c>
      <c r="F131" s="28" t="s">
        <v>138</v>
      </c>
      <c r="G131" s="36">
        <v>2060</v>
      </c>
      <c r="H131" s="28" t="s">
        <v>77</v>
      </c>
      <c r="I131" s="36">
        <v>117.1</v>
      </c>
      <c r="J131" s="36">
        <v>0</v>
      </c>
      <c r="K131" s="37">
        <f>IF(tblWaste[[#This Row],[Date]]="","",IF(tblWaste[[#This Row],[Unit]]="kg",tblWaste[[#This Row],[Weight]],IF(tblWaste[[#This Row],[Unit]]="t",tblWaste[[#This Row],[Weight]]*1000,IF(tblWaste[[#This Row],[Unit]]="lb",tblWaste[[#This Row],[Weight]]*0.45359237,IF(tblWaste[[#This Row],[Unit]]="US ton",tblWaste[[#This Row],[Weight]]*907.18474,"")))))</f>
        <v>2060</v>
      </c>
      <c r="L131" s="38" t="str">
        <f>IF(tblWaste[[#This Row],[Date]]="","",IFERROR(INDEX(tblRoutes[Class],MATCH(tblWaste[[#This Row],[Route]],tblRoutes[Route],0)),""))</f>
        <v>Material recovery</v>
      </c>
      <c r="M131" s="38" t="str">
        <f>IF(tblWaste[[#This Row],[Date]]="","",IFERROR(INDEX(tblStreams[Hazardous],MATCH(tblWaste[[#This Row],[Stream]],tblStreams[Stream],0)),""))</f>
        <v>No</v>
      </c>
      <c r="N131" s="37">
        <f>IF(tblWaste[[#This Row],[Date]]="","",IF(OR(tblWaste[[#This Row],[Weight (kg)]]="",tblWaste[[#This Row],[Class]]=""),"",IF(OR(tblWaste[[#This Row],[Class]]="Material recovery",AND(tblWaste[[#This Row],[Class]]="Energy recovery",CountER="Yes")),tblWaste[[#This Row],[Weight (kg)]],0)))</f>
        <v>2060</v>
      </c>
      <c r="O131" s="30">
        <f>IF(tblWaste[[#This Row],[Date]]="","",N(tblWaste[[#This Row],[Charge]])-N(tblWaste[[#This Row],[Rebate]]))</f>
        <v>117.1</v>
      </c>
      <c r="P131" s="39">
        <f>IF(tblWaste[[#This Row],[Date]]="","",IF(AND(tblWaste[[#This Row],[Date]]&gt;=FFrom,tblWaste[[#This Row],[Date]]&lt;=FTo),tblWaste[[#This Row],[Date]],""))</f>
        <v>46176</v>
      </c>
      <c r="Q13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31" s="28" t="s">
        <v>86</v>
      </c>
    </row>
    <row r="132" spans="2:18">
      <c r="B132" s="35">
        <v>46176</v>
      </c>
      <c r="C132" s="28" t="s">
        <v>263</v>
      </c>
      <c r="D132" s="28" t="s">
        <v>93</v>
      </c>
      <c r="E132" s="28" t="s">
        <v>109</v>
      </c>
      <c r="F132" s="28" t="s">
        <v>140</v>
      </c>
      <c r="G132" s="36">
        <v>1170</v>
      </c>
      <c r="H132" s="28" t="s">
        <v>77</v>
      </c>
      <c r="I132" s="36">
        <v>0</v>
      </c>
      <c r="J132" s="36">
        <v>169.65</v>
      </c>
      <c r="K132" s="37">
        <f>IF(tblWaste[[#This Row],[Date]]="","",IF(tblWaste[[#This Row],[Unit]]="kg",tblWaste[[#This Row],[Weight]],IF(tblWaste[[#This Row],[Unit]]="t",tblWaste[[#This Row],[Weight]]*1000,IF(tblWaste[[#This Row],[Unit]]="lb",tblWaste[[#This Row],[Weight]]*0.45359237,IF(tblWaste[[#This Row],[Unit]]="US ton",tblWaste[[#This Row],[Weight]]*907.18474,"")))))</f>
        <v>1170</v>
      </c>
      <c r="L132" s="38" t="str">
        <f>IF(tblWaste[[#This Row],[Date]]="","",IFERROR(INDEX(tblRoutes[Class],MATCH(tblWaste[[#This Row],[Route]],tblRoutes[Route],0)),""))</f>
        <v>Material recovery</v>
      </c>
      <c r="M132" s="38" t="str">
        <f>IF(tblWaste[[#This Row],[Date]]="","",IFERROR(INDEX(tblStreams[Hazardous],MATCH(tblWaste[[#This Row],[Stream]],tblStreams[Stream],0)),""))</f>
        <v>No</v>
      </c>
      <c r="N132" s="37">
        <f>IF(tblWaste[[#This Row],[Date]]="","",IF(OR(tblWaste[[#This Row],[Weight (kg)]]="",tblWaste[[#This Row],[Class]]=""),"",IF(OR(tblWaste[[#This Row],[Class]]="Material recovery",AND(tblWaste[[#This Row],[Class]]="Energy recovery",CountER="Yes")),tblWaste[[#This Row],[Weight (kg)]],0)))</f>
        <v>1170</v>
      </c>
      <c r="O132" s="30">
        <f>IF(tblWaste[[#This Row],[Date]]="","",N(tblWaste[[#This Row],[Charge]])-N(tblWaste[[#This Row],[Rebate]]))</f>
        <v>-169.65</v>
      </c>
      <c r="P132" s="39">
        <f>IF(tblWaste[[#This Row],[Date]]="","",IF(AND(tblWaste[[#This Row],[Date]]&gt;=FFrom,tblWaste[[#This Row],[Date]]&lt;=FTo),tblWaste[[#This Row],[Date]],""))</f>
        <v>46176</v>
      </c>
      <c r="Q13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32" s="28" t="s">
        <v>86</v>
      </c>
    </row>
    <row r="133" spans="2:18">
      <c r="B133" s="35">
        <v>46177</v>
      </c>
      <c r="C133" s="28" t="s">
        <v>264</v>
      </c>
      <c r="D133" s="28" t="s">
        <v>81</v>
      </c>
      <c r="E133" s="28" t="s">
        <v>109</v>
      </c>
      <c r="F133" s="28" t="s">
        <v>133</v>
      </c>
      <c r="G133" s="36">
        <v>5.64</v>
      </c>
      <c r="H133" s="28" t="s">
        <v>75</v>
      </c>
      <c r="I133" s="36">
        <v>0</v>
      </c>
      <c r="J133" s="36">
        <v>349.68</v>
      </c>
      <c r="K133" s="37">
        <f>IF(tblWaste[[#This Row],[Date]]="","",IF(tblWaste[[#This Row],[Unit]]="kg",tblWaste[[#This Row],[Weight]],IF(tblWaste[[#This Row],[Unit]]="t",tblWaste[[#This Row],[Weight]]*1000,IF(tblWaste[[#This Row],[Unit]]="lb",tblWaste[[#This Row],[Weight]]*0.45359237,IF(tblWaste[[#This Row],[Unit]]="US ton",tblWaste[[#This Row],[Weight]]*907.18474,"")))))</f>
        <v>5640</v>
      </c>
      <c r="L133" s="38" t="str">
        <f>IF(tblWaste[[#This Row],[Date]]="","",IFERROR(INDEX(tblRoutes[Class],MATCH(tblWaste[[#This Row],[Route]],tblRoutes[Route],0)),""))</f>
        <v>Material recovery</v>
      </c>
      <c r="M133" s="38" t="str">
        <f>IF(tblWaste[[#This Row],[Date]]="","",IFERROR(INDEX(tblStreams[Hazardous],MATCH(tblWaste[[#This Row],[Stream]],tblStreams[Stream],0)),""))</f>
        <v>No</v>
      </c>
      <c r="N133" s="37">
        <f>IF(tblWaste[[#This Row],[Date]]="","",IF(OR(tblWaste[[#This Row],[Weight (kg)]]="",tblWaste[[#This Row],[Class]]=""),"",IF(OR(tblWaste[[#This Row],[Class]]="Material recovery",AND(tblWaste[[#This Row],[Class]]="Energy recovery",CountER="Yes")),tblWaste[[#This Row],[Weight (kg)]],0)))</f>
        <v>5640</v>
      </c>
      <c r="O133" s="30">
        <f>IF(tblWaste[[#This Row],[Date]]="","",N(tblWaste[[#This Row],[Charge]])-N(tblWaste[[#This Row],[Rebate]]))</f>
        <v>-349.68</v>
      </c>
      <c r="P133" s="39">
        <f>IF(tblWaste[[#This Row],[Date]]="","",IF(AND(tblWaste[[#This Row],[Date]]&gt;=FFrom,tblWaste[[#This Row],[Date]]&lt;=FTo),tblWaste[[#This Row],[Date]],""))</f>
        <v>46177</v>
      </c>
      <c r="Q13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33" s="28" t="s">
        <v>86</v>
      </c>
    </row>
    <row r="134" spans="2:18">
      <c r="B134" s="35">
        <v>46178</v>
      </c>
      <c r="C134" s="28" t="s">
        <v>265</v>
      </c>
      <c r="D134" s="28" t="s">
        <v>85</v>
      </c>
      <c r="E134" s="28" t="s">
        <v>109</v>
      </c>
      <c r="F134" s="28" t="s">
        <v>133</v>
      </c>
      <c r="G134" s="36">
        <v>830</v>
      </c>
      <c r="H134" s="28" t="s">
        <v>77</v>
      </c>
      <c r="I134" s="36">
        <v>0</v>
      </c>
      <c r="J134" s="36">
        <v>16.6</v>
      </c>
      <c r="K134" s="37">
        <f>IF(tblWaste[[#This Row],[Date]]="","",IF(tblWaste[[#This Row],[Unit]]="kg",tblWaste[[#This Row],[Weight]],IF(tblWaste[[#This Row],[Unit]]="t",tblWaste[[#This Row],[Weight]]*1000,IF(tblWaste[[#This Row],[Unit]]="lb",tblWaste[[#This Row],[Weight]]*0.45359237,IF(tblWaste[[#This Row],[Unit]]="US ton",tblWaste[[#This Row],[Weight]]*907.18474,"")))))</f>
        <v>830</v>
      </c>
      <c r="L134" s="38" t="str">
        <f>IF(tblWaste[[#This Row],[Date]]="","",IFERROR(INDEX(tblRoutes[Class],MATCH(tblWaste[[#This Row],[Route]],tblRoutes[Route],0)),""))</f>
        <v>Material recovery</v>
      </c>
      <c r="M134" s="38" t="str">
        <f>IF(tblWaste[[#This Row],[Date]]="","",IFERROR(INDEX(tblStreams[Hazardous],MATCH(tblWaste[[#This Row],[Stream]],tblStreams[Stream],0)),""))</f>
        <v>No</v>
      </c>
      <c r="N134" s="37">
        <f>IF(tblWaste[[#This Row],[Date]]="","",IF(OR(tblWaste[[#This Row],[Weight (kg)]]="",tblWaste[[#This Row],[Class]]=""),"",IF(OR(tblWaste[[#This Row],[Class]]="Material recovery",AND(tblWaste[[#This Row],[Class]]="Energy recovery",CountER="Yes")),tblWaste[[#This Row],[Weight (kg)]],0)))</f>
        <v>830</v>
      </c>
      <c r="O134" s="30">
        <f>IF(tblWaste[[#This Row],[Date]]="","",N(tblWaste[[#This Row],[Charge]])-N(tblWaste[[#This Row],[Rebate]]))</f>
        <v>-16.6</v>
      </c>
      <c r="P134" s="39">
        <f>IF(tblWaste[[#This Row],[Date]]="","",IF(AND(tblWaste[[#This Row],[Date]]&gt;=FFrom,tblWaste[[#This Row],[Date]]&lt;=FTo),tblWaste[[#This Row],[Date]],""))</f>
        <v>46178</v>
      </c>
      <c r="Q13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34" s="28" t="s">
        <v>86</v>
      </c>
    </row>
    <row r="135" spans="2:18">
      <c r="B135" s="35">
        <v>46178</v>
      </c>
      <c r="C135" s="28" t="s">
        <v>266</v>
      </c>
      <c r="D135" s="28" t="s">
        <v>95</v>
      </c>
      <c r="E135" s="28" t="s">
        <v>111</v>
      </c>
      <c r="F135" s="28" t="s">
        <v>136</v>
      </c>
      <c r="G135" s="36">
        <v>260</v>
      </c>
      <c r="H135" s="28" t="s">
        <v>77</v>
      </c>
      <c r="I135" s="36">
        <v>69.7</v>
      </c>
      <c r="J135" s="36">
        <v>0</v>
      </c>
      <c r="K135" s="37">
        <f>IF(tblWaste[[#This Row],[Date]]="","",IF(tblWaste[[#This Row],[Unit]]="kg",tblWaste[[#This Row],[Weight]],IF(tblWaste[[#This Row],[Unit]]="t",tblWaste[[#This Row],[Weight]]*1000,IF(tblWaste[[#This Row],[Unit]]="lb",tblWaste[[#This Row],[Weight]]*0.45359237,IF(tblWaste[[#This Row],[Unit]]="US ton",tblWaste[[#This Row],[Weight]]*907.18474,"")))))</f>
        <v>260</v>
      </c>
      <c r="L135" s="38" t="str">
        <f>IF(tblWaste[[#This Row],[Date]]="","",IFERROR(INDEX(tblRoutes[Class],MATCH(tblWaste[[#This Row],[Route]],tblRoutes[Route],0)),""))</f>
        <v>Material recovery</v>
      </c>
      <c r="M135" s="38" t="str">
        <f>IF(tblWaste[[#This Row],[Date]]="","",IFERROR(INDEX(tblStreams[Hazardous],MATCH(tblWaste[[#This Row],[Stream]],tblStreams[Stream],0)),""))</f>
        <v>No</v>
      </c>
      <c r="N135" s="37">
        <f>IF(tblWaste[[#This Row],[Date]]="","",IF(OR(tblWaste[[#This Row],[Weight (kg)]]="",tblWaste[[#This Row],[Class]]=""),"",IF(OR(tblWaste[[#This Row],[Class]]="Material recovery",AND(tblWaste[[#This Row],[Class]]="Energy recovery",CountER="Yes")),tblWaste[[#This Row],[Weight (kg)]],0)))</f>
        <v>260</v>
      </c>
      <c r="O135" s="30">
        <f>IF(tblWaste[[#This Row],[Date]]="","",N(tblWaste[[#This Row],[Charge]])-N(tblWaste[[#This Row],[Rebate]]))</f>
        <v>69.7</v>
      </c>
      <c r="P135" s="39">
        <f>IF(tblWaste[[#This Row],[Date]]="","",IF(AND(tblWaste[[#This Row],[Date]]&gt;=FFrom,tblWaste[[#This Row],[Date]]&lt;=FTo),tblWaste[[#This Row],[Date]],""))</f>
        <v>46178</v>
      </c>
      <c r="Q13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35" s="28" t="s">
        <v>86</v>
      </c>
    </row>
    <row r="136" spans="2:18">
      <c r="B136" s="35">
        <v>46179</v>
      </c>
      <c r="C136" s="28" t="s">
        <v>267</v>
      </c>
      <c r="D136" s="28" t="s">
        <v>100</v>
      </c>
      <c r="E136" s="28" t="s">
        <v>118</v>
      </c>
      <c r="F136" s="28" t="s">
        <v>136</v>
      </c>
      <c r="G136" s="36">
        <v>2060</v>
      </c>
      <c r="H136" s="28" t="s">
        <v>77</v>
      </c>
      <c r="I136" s="36">
        <v>288.08</v>
      </c>
      <c r="J136" s="36">
        <v>0</v>
      </c>
      <c r="K136" s="37">
        <f>IF(tblWaste[[#This Row],[Date]]="","",IF(tblWaste[[#This Row],[Unit]]="kg",tblWaste[[#This Row],[Weight]],IF(tblWaste[[#This Row],[Unit]]="t",tblWaste[[#This Row],[Weight]]*1000,IF(tblWaste[[#This Row],[Unit]]="lb",tblWaste[[#This Row],[Weight]]*0.45359237,IF(tblWaste[[#This Row],[Unit]]="US ton",tblWaste[[#This Row],[Weight]]*907.18474,"")))))</f>
        <v>2060</v>
      </c>
      <c r="L136" s="38" t="str">
        <f>IF(tblWaste[[#This Row],[Date]]="","",IFERROR(INDEX(tblRoutes[Class],MATCH(tblWaste[[#This Row],[Route]],tblRoutes[Route],0)),""))</f>
        <v>Disposal</v>
      </c>
      <c r="M136" s="38" t="str">
        <f>IF(tblWaste[[#This Row],[Date]]="","",IFERROR(INDEX(tblStreams[Hazardous],MATCH(tblWaste[[#This Row],[Stream]],tblStreams[Stream],0)),""))</f>
        <v>No</v>
      </c>
      <c r="N136" s="37">
        <f>IF(tblWaste[[#This Row],[Date]]="","",IF(OR(tblWaste[[#This Row],[Weight (kg)]]="",tblWaste[[#This Row],[Class]]=""),"",IF(OR(tblWaste[[#This Row],[Class]]="Material recovery",AND(tblWaste[[#This Row],[Class]]="Energy recovery",CountER="Yes")),tblWaste[[#This Row],[Weight (kg)]],0)))</f>
        <v>0</v>
      </c>
      <c r="O136" s="30">
        <f>IF(tblWaste[[#This Row],[Date]]="","",N(tblWaste[[#This Row],[Charge]])-N(tblWaste[[#This Row],[Rebate]]))</f>
        <v>288.08</v>
      </c>
      <c r="P136" s="39">
        <f>IF(tblWaste[[#This Row],[Date]]="","",IF(AND(tblWaste[[#This Row],[Date]]&gt;=FFrom,tblWaste[[#This Row],[Date]]&lt;=FTo),tblWaste[[#This Row],[Date]],""))</f>
        <v>46179</v>
      </c>
      <c r="Q13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36" s="28" t="s">
        <v>86</v>
      </c>
    </row>
    <row r="137" spans="2:18">
      <c r="B137" s="35">
        <v>46183</v>
      </c>
      <c r="C137" s="28" t="s">
        <v>268</v>
      </c>
      <c r="D137" s="28" t="s">
        <v>81</v>
      </c>
      <c r="E137" s="28" t="s">
        <v>109</v>
      </c>
      <c r="F137" s="28" t="s">
        <v>133</v>
      </c>
      <c r="G137" s="36">
        <v>5.82</v>
      </c>
      <c r="H137" s="28" t="s">
        <v>75</v>
      </c>
      <c r="I137" s="36">
        <v>0</v>
      </c>
      <c r="J137" s="36">
        <v>360.84</v>
      </c>
      <c r="K137" s="37">
        <f>IF(tblWaste[[#This Row],[Date]]="","",IF(tblWaste[[#This Row],[Unit]]="kg",tblWaste[[#This Row],[Weight]],IF(tblWaste[[#This Row],[Unit]]="t",tblWaste[[#This Row],[Weight]]*1000,IF(tblWaste[[#This Row],[Unit]]="lb",tblWaste[[#This Row],[Weight]]*0.45359237,IF(tblWaste[[#This Row],[Unit]]="US ton",tblWaste[[#This Row],[Weight]]*907.18474,"")))))</f>
        <v>5820</v>
      </c>
      <c r="L137" s="38" t="str">
        <f>IF(tblWaste[[#This Row],[Date]]="","",IFERROR(INDEX(tblRoutes[Class],MATCH(tblWaste[[#This Row],[Route]],tblRoutes[Route],0)),""))</f>
        <v>Material recovery</v>
      </c>
      <c r="M137" s="38" t="str">
        <f>IF(tblWaste[[#This Row],[Date]]="","",IFERROR(INDEX(tblStreams[Hazardous],MATCH(tblWaste[[#This Row],[Stream]],tblStreams[Stream],0)),""))</f>
        <v>No</v>
      </c>
      <c r="N137" s="37">
        <f>IF(tblWaste[[#This Row],[Date]]="","",IF(OR(tblWaste[[#This Row],[Weight (kg)]]="",tblWaste[[#This Row],[Class]]=""),"",IF(OR(tblWaste[[#This Row],[Class]]="Material recovery",AND(tblWaste[[#This Row],[Class]]="Energy recovery",CountER="Yes")),tblWaste[[#This Row],[Weight (kg)]],0)))</f>
        <v>5820</v>
      </c>
      <c r="O137" s="30">
        <f>IF(tblWaste[[#This Row],[Date]]="","",N(tblWaste[[#This Row],[Charge]])-N(tblWaste[[#This Row],[Rebate]]))</f>
        <v>-360.84</v>
      </c>
      <c r="P137" s="39">
        <f>IF(tblWaste[[#This Row],[Date]]="","",IF(AND(tblWaste[[#This Row],[Date]]&gt;=FFrom,tblWaste[[#This Row],[Date]]&lt;=FTo),tblWaste[[#This Row],[Date]],""))</f>
        <v>46183</v>
      </c>
      <c r="Q13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37" s="28" t="s">
        <v>86</v>
      </c>
    </row>
    <row r="138" spans="2:18">
      <c r="B138" s="35">
        <v>46184</v>
      </c>
      <c r="C138" s="28" t="s">
        <v>269</v>
      </c>
      <c r="D138" s="28" t="s">
        <v>87</v>
      </c>
      <c r="E138" s="28" t="s">
        <v>109</v>
      </c>
      <c r="F138" s="28" t="s">
        <v>133</v>
      </c>
      <c r="G138" s="36">
        <v>2990</v>
      </c>
      <c r="H138" s="28" t="s">
        <v>77</v>
      </c>
      <c r="I138" s="36">
        <v>0</v>
      </c>
      <c r="J138" s="36">
        <v>119.6</v>
      </c>
      <c r="K138" s="37">
        <f>IF(tblWaste[[#This Row],[Date]]="","",IF(tblWaste[[#This Row],[Unit]]="kg",tblWaste[[#This Row],[Weight]],IF(tblWaste[[#This Row],[Unit]]="t",tblWaste[[#This Row],[Weight]]*1000,IF(tblWaste[[#This Row],[Unit]]="lb",tblWaste[[#This Row],[Weight]]*0.45359237,IF(tblWaste[[#This Row],[Unit]]="US ton",tblWaste[[#This Row],[Weight]]*907.18474,"")))))</f>
        <v>2990</v>
      </c>
      <c r="L138" s="38" t="str">
        <f>IF(tblWaste[[#This Row],[Date]]="","",IFERROR(INDEX(tblRoutes[Class],MATCH(tblWaste[[#This Row],[Route]],tblRoutes[Route],0)),""))</f>
        <v>Material recovery</v>
      </c>
      <c r="M138" s="38" t="str">
        <f>IF(tblWaste[[#This Row],[Date]]="","",IFERROR(INDEX(tblStreams[Hazardous],MATCH(tblWaste[[#This Row],[Stream]],tblStreams[Stream],0)),""))</f>
        <v>No</v>
      </c>
      <c r="N138" s="37">
        <f>IF(tblWaste[[#This Row],[Date]]="","",IF(OR(tblWaste[[#This Row],[Weight (kg)]]="",tblWaste[[#This Row],[Class]]=""),"",IF(OR(tblWaste[[#This Row],[Class]]="Material recovery",AND(tblWaste[[#This Row],[Class]]="Energy recovery",CountER="Yes")),tblWaste[[#This Row],[Weight (kg)]],0)))</f>
        <v>2990</v>
      </c>
      <c r="O138" s="30">
        <f>IF(tblWaste[[#This Row],[Date]]="","",N(tblWaste[[#This Row],[Charge]])-N(tblWaste[[#This Row],[Rebate]]))</f>
        <v>-119.6</v>
      </c>
      <c r="P138" s="39">
        <f>IF(tblWaste[[#This Row],[Date]]="","",IF(AND(tblWaste[[#This Row],[Date]]&gt;=FFrom,tblWaste[[#This Row],[Date]]&lt;=FTo),tblWaste[[#This Row],[Date]],""))</f>
        <v>46184</v>
      </c>
      <c r="Q13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38" s="28" t="s">
        <v>86</v>
      </c>
    </row>
    <row r="139" spans="2:18">
      <c r="B139" s="35">
        <v>46184</v>
      </c>
      <c r="C139" s="28" t="s">
        <v>270</v>
      </c>
      <c r="D139" s="28" t="s">
        <v>95</v>
      </c>
      <c r="E139" s="28" t="s">
        <v>111</v>
      </c>
      <c r="F139" s="28" t="s">
        <v>136</v>
      </c>
      <c r="G139" s="36">
        <v>240</v>
      </c>
      <c r="H139" s="28" t="s">
        <v>77</v>
      </c>
      <c r="I139" s="36">
        <v>67.8</v>
      </c>
      <c r="J139" s="36">
        <v>0</v>
      </c>
      <c r="K139" s="37">
        <f>IF(tblWaste[[#This Row],[Date]]="","",IF(tblWaste[[#This Row],[Unit]]="kg",tblWaste[[#This Row],[Weight]],IF(tblWaste[[#This Row],[Unit]]="t",tblWaste[[#This Row],[Weight]]*1000,IF(tblWaste[[#This Row],[Unit]]="lb",tblWaste[[#This Row],[Weight]]*0.45359237,IF(tblWaste[[#This Row],[Unit]]="US ton",tblWaste[[#This Row],[Weight]]*907.18474,"")))))</f>
        <v>240</v>
      </c>
      <c r="L139" s="38" t="str">
        <f>IF(tblWaste[[#This Row],[Date]]="","",IFERROR(INDEX(tblRoutes[Class],MATCH(tblWaste[[#This Row],[Route]],tblRoutes[Route],0)),""))</f>
        <v>Material recovery</v>
      </c>
      <c r="M139" s="38" t="str">
        <f>IF(tblWaste[[#This Row],[Date]]="","",IFERROR(INDEX(tblStreams[Hazardous],MATCH(tblWaste[[#This Row],[Stream]],tblStreams[Stream],0)),""))</f>
        <v>No</v>
      </c>
      <c r="N139" s="37">
        <f>IF(tblWaste[[#This Row],[Date]]="","",IF(OR(tblWaste[[#This Row],[Weight (kg)]]="",tblWaste[[#This Row],[Class]]=""),"",IF(OR(tblWaste[[#This Row],[Class]]="Material recovery",AND(tblWaste[[#This Row],[Class]]="Energy recovery",CountER="Yes")),tblWaste[[#This Row],[Weight (kg)]],0)))</f>
        <v>240</v>
      </c>
      <c r="O139" s="30">
        <f>IF(tblWaste[[#This Row],[Date]]="","",N(tblWaste[[#This Row],[Charge]])-N(tblWaste[[#This Row],[Rebate]]))</f>
        <v>67.8</v>
      </c>
      <c r="P139" s="39">
        <f>IF(tblWaste[[#This Row],[Date]]="","",IF(AND(tblWaste[[#This Row],[Date]]&gt;=FFrom,tblWaste[[#This Row],[Date]]&lt;=FTo),tblWaste[[#This Row],[Date]],""))</f>
        <v>46184</v>
      </c>
      <c r="Q13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39" s="28" t="s">
        <v>86</v>
      </c>
    </row>
    <row r="140" spans="2:18">
      <c r="B140" s="35">
        <v>46186</v>
      </c>
      <c r="C140" s="28" t="s">
        <v>271</v>
      </c>
      <c r="D140" s="28" t="s">
        <v>100</v>
      </c>
      <c r="E140" s="28" t="s">
        <v>118</v>
      </c>
      <c r="F140" s="28" t="s">
        <v>136</v>
      </c>
      <c r="G140" s="36">
        <v>1720</v>
      </c>
      <c r="H140" s="28" t="s">
        <v>77</v>
      </c>
      <c r="I140" s="36">
        <v>247.96</v>
      </c>
      <c r="J140" s="36">
        <v>0</v>
      </c>
      <c r="K140" s="37">
        <f>IF(tblWaste[[#This Row],[Date]]="","",IF(tblWaste[[#This Row],[Unit]]="kg",tblWaste[[#This Row],[Weight]],IF(tblWaste[[#This Row],[Unit]]="t",tblWaste[[#This Row],[Weight]]*1000,IF(tblWaste[[#This Row],[Unit]]="lb",tblWaste[[#This Row],[Weight]]*0.45359237,IF(tblWaste[[#This Row],[Unit]]="US ton",tblWaste[[#This Row],[Weight]]*907.18474,"")))))</f>
        <v>1720</v>
      </c>
      <c r="L140" s="38" t="str">
        <f>IF(tblWaste[[#This Row],[Date]]="","",IFERROR(INDEX(tblRoutes[Class],MATCH(tblWaste[[#This Row],[Route]],tblRoutes[Route],0)),""))</f>
        <v>Disposal</v>
      </c>
      <c r="M140" s="38" t="str">
        <f>IF(tblWaste[[#This Row],[Date]]="","",IFERROR(INDEX(tblStreams[Hazardous],MATCH(tblWaste[[#This Row],[Stream]],tblStreams[Stream],0)),""))</f>
        <v>No</v>
      </c>
      <c r="N140" s="37">
        <f>IF(tblWaste[[#This Row],[Date]]="","",IF(OR(tblWaste[[#This Row],[Weight (kg)]]="",tblWaste[[#This Row],[Class]]=""),"",IF(OR(tblWaste[[#This Row],[Class]]="Material recovery",AND(tblWaste[[#This Row],[Class]]="Energy recovery",CountER="Yes")),tblWaste[[#This Row],[Weight (kg)]],0)))</f>
        <v>0</v>
      </c>
      <c r="O140" s="30">
        <f>IF(tblWaste[[#This Row],[Date]]="","",N(tblWaste[[#This Row],[Charge]])-N(tblWaste[[#This Row],[Rebate]]))</f>
        <v>247.96</v>
      </c>
      <c r="P140" s="39">
        <f>IF(tblWaste[[#This Row],[Date]]="","",IF(AND(tblWaste[[#This Row],[Date]]&gt;=FFrom,tblWaste[[#This Row],[Date]]&lt;=FTo),tblWaste[[#This Row],[Date]],""))</f>
        <v>46186</v>
      </c>
      <c r="Q14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40" s="28" t="s">
        <v>86</v>
      </c>
    </row>
    <row r="141" spans="2:18">
      <c r="B141" s="35">
        <v>46191</v>
      </c>
      <c r="C141" s="28" t="s">
        <v>272</v>
      </c>
      <c r="D141" s="28" t="s">
        <v>81</v>
      </c>
      <c r="E141" s="28" t="s">
        <v>109</v>
      </c>
      <c r="F141" s="28" t="s">
        <v>133</v>
      </c>
      <c r="G141" s="36">
        <v>4.98</v>
      </c>
      <c r="H141" s="28" t="s">
        <v>75</v>
      </c>
      <c r="I141" s="36">
        <v>0</v>
      </c>
      <c r="J141" s="36">
        <v>308.76</v>
      </c>
      <c r="K141" s="37">
        <f>IF(tblWaste[[#This Row],[Date]]="","",IF(tblWaste[[#This Row],[Unit]]="kg",tblWaste[[#This Row],[Weight]],IF(tblWaste[[#This Row],[Unit]]="t",tblWaste[[#This Row],[Weight]]*1000,IF(tblWaste[[#This Row],[Unit]]="lb",tblWaste[[#This Row],[Weight]]*0.45359237,IF(tblWaste[[#This Row],[Unit]]="US ton",tblWaste[[#This Row],[Weight]]*907.18474,"")))))</f>
        <v>4980</v>
      </c>
      <c r="L141" s="38" t="str">
        <f>IF(tblWaste[[#This Row],[Date]]="","",IFERROR(INDEX(tblRoutes[Class],MATCH(tblWaste[[#This Row],[Route]],tblRoutes[Route],0)),""))</f>
        <v>Material recovery</v>
      </c>
      <c r="M141" s="38" t="str">
        <f>IF(tblWaste[[#This Row],[Date]]="","",IFERROR(INDEX(tblStreams[Hazardous],MATCH(tblWaste[[#This Row],[Stream]],tblStreams[Stream],0)),""))</f>
        <v>No</v>
      </c>
      <c r="N141" s="37">
        <f>IF(tblWaste[[#This Row],[Date]]="","",IF(OR(tblWaste[[#This Row],[Weight (kg)]]="",tblWaste[[#This Row],[Class]]=""),"",IF(OR(tblWaste[[#This Row],[Class]]="Material recovery",AND(tblWaste[[#This Row],[Class]]="Energy recovery",CountER="Yes")),tblWaste[[#This Row],[Weight (kg)]],0)))</f>
        <v>4980</v>
      </c>
      <c r="O141" s="30">
        <f>IF(tblWaste[[#This Row],[Date]]="","",N(tblWaste[[#This Row],[Charge]])-N(tblWaste[[#This Row],[Rebate]]))</f>
        <v>-308.76</v>
      </c>
      <c r="P141" s="39">
        <f>IF(tblWaste[[#This Row],[Date]]="","",IF(AND(tblWaste[[#This Row],[Date]]&gt;=FFrom,tblWaste[[#This Row],[Date]]&lt;=FTo),tblWaste[[#This Row],[Date]],""))</f>
        <v>46191</v>
      </c>
      <c r="Q14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41" s="28" t="s">
        <v>86</v>
      </c>
    </row>
    <row r="142" spans="2:18">
      <c r="B142" s="35">
        <v>46192</v>
      </c>
      <c r="C142" s="28" t="s">
        <v>273</v>
      </c>
      <c r="D142" s="28" t="s">
        <v>100</v>
      </c>
      <c r="E142" s="28" t="s">
        <v>118</v>
      </c>
      <c r="F142" s="28" t="s">
        <v>136</v>
      </c>
      <c r="G142" s="36">
        <v>1700</v>
      </c>
      <c r="H142" s="28" t="s">
        <v>77</v>
      </c>
      <c r="I142" s="36">
        <v>245.6</v>
      </c>
      <c r="J142" s="36">
        <v>0</v>
      </c>
      <c r="K142" s="37">
        <f>IF(tblWaste[[#This Row],[Date]]="","",IF(tblWaste[[#This Row],[Unit]]="kg",tblWaste[[#This Row],[Weight]],IF(tblWaste[[#This Row],[Unit]]="t",tblWaste[[#This Row],[Weight]]*1000,IF(tblWaste[[#This Row],[Unit]]="lb",tblWaste[[#This Row],[Weight]]*0.45359237,IF(tblWaste[[#This Row],[Unit]]="US ton",tblWaste[[#This Row],[Weight]]*907.18474,"")))))</f>
        <v>1700</v>
      </c>
      <c r="L142" s="38" t="str">
        <f>IF(tblWaste[[#This Row],[Date]]="","",IFERROR(INDEX(tblRoutes[Class],MATCH(tblWaste[[#This Row],[Route]],tblRoutes[Route],0)),""))</f>
        <v>Disposal</v>
      </c>
      <c r="M142" s="38" t="str">
        <f>IF(tblWaste[[#This Row],[Date]]="","",IFERROR(INDEX(tblStreams[Hazardous],MATCH(tblWaste[[#This Row],[Stream]],tblStreams[Stream],0)),""))</f>
        <v>No</v>
      </c>
      <c r="N142" s="37">
        <f>IF(tblWaste[[#This Row],[Date]]="","",IF(OR(tblWaste[[#This Row],[Weight (kg)]]="",tblWaste[[#This Row],[Class]]=""),"",IF(OR(tblWaste[[#This Row],[Class]]="Material recovery",AND(tblWaste[[#This Row],[Class]]="Energy recovery",CountER="Yes")),tblWaste[[#This Row],[Weight (kg)]],0)))</f>
        <v>0</v>
      </c>
      <c r="O142" s="30">
        <f>IF(tblWaste[[#This Row],[Date]]="","",N(tblWaste[[#This Row],[Charge]])-N(tblWaste[[#This Row],[Rebate]]))</f>
        <v>245.6</v>
      </c>
      <c r="P142" s="39">
        <f>IF(tblWaste[[#This Row],[Date]]="","",IF(AND(tblWaste[[#This Row],[Date]]&gt;=FFrom,tblWaste[[#This Row],[Date]]&lt;=FTo),tblWaste[[#This Row],[Date]],""))</f>
        <v>46192</v>
      </c>
      <c r="Q14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42" s="28" t="s">
        <v>86</v>
      </c>
    </row>
    <row r="143" spans="2:18">
      <c r="B143" s="35">
        <v>46198</v>
      </c>
      <c r="C143" s="28" t="s">
        <v>274</v>
      </c>
      <c r="D143" s="28" t="s">
        <v>81</v>
      </c>
      <c r="E143" s="28" t="s">
        <v>109</v>
      </c>
      <c r="F143" s="28" t="s">
        <v>133</v>
      </c>
      <c r="G143" s="36">
        <v>5.98</v>
      </c>
      <c r="H143" s="28" t="s">
        <v>75</v>
      </c>
      <c r="I143" s="36">
        <v>0</v>
      </c>
      <c r="J143" s="36">
        <v>370.76</v>
      </c>
      <c r="K143" s="37">
        <f>IF(tblWaste[[#This Row],[Date]]="","",IF(tblWaste[[#This Row],[Unit]]="kg",tblWaste[[#This Row],[Weight]],IF(tblWaste[[#This Row],[Unit]]="t",tblWaste[[#This Row],[Weight]]*1000,IF(tblWaste[[#This Row],[Unit]]="lb",tblWaste[[#This Row],[Weight]]*0.45359237,IF(tblWaste[[#This Row],[Unit]]="US ton",tblWaste[[#This Row],[Weight]]*907.18474,"")))))</f>
        <v>5980</v>
      </c>
      <c r="L143" s="38" t="str">
        <f>IF(tblWaste[[#This Row],[Date]]="","",IFERROR(INDEX(tblRoutes[Class],MATCH(tblWaste[[#This Row],[Route]],tblRoutes[Route],0)),""))</f>
        <v>Material recovery</v>
      </c>
      <c r="M143" s="38" t="str">
        <f>IF(tblWaste[[#This Row],[Date]]="","",IFERROR(INDEX(tblStreams[Hazardous],MATCH(tblWaste[[#This Row],[Stream]],tblStreams[Stream],0)),""))</f>
        <v>No</v>
      </c>
      <c r="N143" s="37">
        <f>IF(tblWaste[[#This Row],[Date]]="","",IF(OR(tblWaste[[#This Row],[Weight (kg)]]="",tblWaste[[#This Row],[Class]]=""),"",IF(OR(tblWaste[[#This Row],[Class]]="Material recovery",AND(tblWaste[[#This Row],[Class]]="Energy recovery",CountER="Yes")),tblWaste[[#This Row],[Weight (kg)]],0)))</f>
        <v>5980</v>
      </c>
      <c r="O143" s="30">
        <f>IF(tblWaste[[#This Row],[Date]]="","",N(tblWaste[[#This Row],[Charge]])-N(tblWaste[[#This Row],[Rebate]]))</f>
        <v>-370.76</v>
      </c>
      <c r="P143" s="39">
        <f>IF(tblWaste[[#This Row],[Date]]="","",IF(AND(tblWaste[[#This Row],[Date]]&gt;=FFrom,tblWaste[[#This Row],[Date]]&lt;=FTo),tblWaste[[#This Row],[Date]],""))</f>
        <v>46198</v>
      </c>
      <c r="Q14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43" s="28" t="s">
        <v>86</v>
      </c>
    </row>
    <row r="144" spans="2:18">
      <c r="B144" s="35">
        <v>46198</v>
      </c>
      <c r="C144" s="28" t="s">
        <v>275</v>
      </c>
      <c r="D144" s="28" t="s">
        <v>100</v>
      </c>
      <c r="E144" s="28" t="s">
        <v>118</v>
      </c>
      <c r="F144" s="28" t="s">
        <v>136</v>
      </c>
      <c r="G144" s="36">
        <v>1800</v>
      </c>
      <c r="H144" s="28" t="s">
        <v>77</v>
      </c>
      <c r="I144" s="36">
        <v>257.4</v>
      </c>
      <c r="J144" s="36">
        <v>0</v>
      </c>
      <c r="K144" s="37">
        <f>IF(tblWaste[[#This Row],[Date]]="","",IF(tblWaste[[#This Row],[Unit]]="kg",tblWaste[[#This Row],[Weight]],IF(tblWaste[[#This Row],[Unit]]="t",tblWaste[[#This Row],[Weight]]*1000,IF(tblWaste[[#This Row],[Unit]]="lb",tblWaste[[#This Row],[Weight]]*0.45359237,IF(tblWaste[[#This Row],[Unit]]="US ton",tblWaste[[#This Row],[Weight]]*907.18474,"")))))</f>
        <v>1800</v>
      </c>
      <c r="L144" s="38" t="str">
        <f>IF(tblWaste[[#This Row],[Date]]="","",IFERROR(INDEX(tblRoutes[Class],MATCH(tblWaste[[#This Row],[Route]],tblRoutes[Route],0)),""))</f>
        <v>Disposal</v>
      </c>
      <c r="M144" s="38" t="str">
        <f>IF(tblWaste[[#This Row],[Date]]="","",IFERROR(INDEX(tblStreams[Hazardous],MATCH(tblWaste[[#This Row],[Stream]],tblStreams[Stream],0)),""))</f>
        <v>No</v>
      </c>
      <c r="N144" s="37">
        <f>IF(tblWaste[[#This Row],[Date]]="","",IF(OR(tblWaste[[#This Row],[Weight (kg)]]="",tblWaste[[#This Row],[Class]]=""),"",IF(OR(tblWaste[[#This Row],[Class]]="Material recovery",AND(tblWaste[[#This Row],[Class]]="Energy recovery",CountER="Yes")),tblWaste[[#This Row],[Weight (kg)]],0)))</f>
        <v>0</v>
      </c>
      <c r="O144" s="30">
        <f>IF(tblWaste[[#This Row],[Date]]="","",N(tblWaste[[#This Row],[Charge]])-N(tblWaste[[#This Row],[Rebate]]))</f>
        <v>257.4</v>
      </c>
      <c r="P144" s="39">
        <f>IF(tblWaste[[#This Row],[Date]]="","",IF(AND(tblWaste[[#This Row],[Date]]&gt;=FFrom,tblWaste[[#This Row],[Date]]&lt;=FTo),tblWaste[[#This Row],[Date]],""))</f>
        <v>46198</v>
      </c>
      <c r="Q14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44" s="28" t="s">
        <v>86</v>
      </c>
    </row>
    <row r="145" spans="2:18">
      <c r="B145" s="35">
        <v>46206</v>
      </c>
      <c r="C145" s="28" t="s">
        <v>276</v>
      </c>
      <c r="D145" s="28" t="s">
        <v>85</v>
      </c>
      <c r="E145" s="28" t="s">
        <v>109</v>
      </c>
      <c r="F145" s="28" t="s">
        <v>133</v>
      </c>
      <c r="G145" s="36">
        <v>790</v>
      </c>
      <c r="H145" s="28" t="s">
        <v>77</v>
      </c>
      <c r="I145" s="36">
        <v>0</v>
      </c>
      <c r="J145" s="36">
        <v>15.8</v>
      </c>
      <c r="K145" s="37">
        <f>IF(tblWaste[[#This Row],[Date]]="","",IF(tblWaste[[#This Row],[Unit]]="kg",tblWaste[[#This Row],[Weight]],IF(tblWaste[[#This Row],[Unit]]="t",tblWaste[[#This Row],[Weight]]*1000,IF(tblWaste[[#This Row],[Unit]]="lb",tblWaste[[#This Row],[Weight]]*0.45359237,IF(tblWaste[[#This Row],[Unit]]="US ton",tblWaste[[#This Row],[Weight]]*907.18474,"")))))</f>
        <v>790</v>
      </c>
      <c r="L145" s="38" t="str">
        <f>IF(tblWaste[[#This Row],[Date]]="","",IFERROR(INDEX(tblRoutes[Class],MATCH(tblWaste[[#This Row],[Route]],tblRoutes[Route],0)),""))</f>
        <v>Material recovery</v>
      </c>
      <c r="M145" s="38" t="str">
        <f>IF(tblWaste[[#This Row],[Date]]="","",IFERROR(INDEX(tblStreams[Hazardous],MATCH(tblWaste[[#This Row],[Stream]],tblStreams[Stream],0)),""))</f>
        <v>No</v>
      </c>
      <c r="N145" s="37">
        <f>IF(tblWaste[[#This Row],[Date]]="","",IF(OR(tblWaste[[#This Row],[Weight (kg)]]="",tblWaste[[#This Row],[Class]]=""),"",IF(OR(tblWaste[[#This Row],[Class]]="Material recovery",AND(tblWaste[[#This Row],[Class]]="Energy recovery",CountER="Yes")),tblWaste[[#This Row],[Weight (kg)]],0)))</f>
        <v>790</v>
      </c>
      <c r="O145" s="30">
        <f>IF(tblWaste[[#This Row],[Date]]="","",N(tblWaste[[#This Row],[Charge]])-N(tblWaste[[#This Row],[Rebate]]))</f>
        <v>-15.8</v>
      </c>
      <c r="P145" s="39">
        <f>IF(tblWaste[[#This Row],[Date]]="","",IF(AND(tblWaste[[#This Row],[Date]]&gt;=FFrom,tblWaste[[#This Row],[Date]]&lt;=FTo),tblWaste[[#This Row],[Date]],""))</f>
        <v>46206</v>
      </c>
      <c r="Q14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45" s="28" t="s">
        <v>86</v>
      </c>
    </row>
    <row r="146" spans="2:18">
      <c r="B146" s="35">
        <v>46206</v>
      </c>
      <c r="C146" s="28" t="s">
        <v>277</v>
      </c>
      <c r="D146" s="28" t="s">
        <v>87</v>
      </c>
      <c r="E146" s="28" t="s">
        <v>109</v>
      </c>
      <c r="F146" s="28" t="s">
        <v>133</v>
      </c>
      <c r="G146" s="36">
        <v>2740</v>
      </c>
      <c r="H146" s="28" t="s">
        <v>77</v>
      </c>
      <c r="I146" s="36">
        <v>0</v>
      </c>
      <c r="J146" s="36">
        <v>109.6</v>
      </c>
      <c r="K146" s="37">
        <f>IF(tblWaste[[#This Row],[Date]]="","",IF(tblWaste[[#This Row],[Unit]]="kg",tblWaste[[#This Row],[Weight]],IF(tblWaste[[#This Row],[Unit]]="t",tblWaste[[#This Row],[Weight]]*1000,IF(tblWaste[[#This Row],[Unit]]="lb",tblWaste[[#This Row],[Weight]]*0.45359237,IF(tblWaste[[#This Row],[Unit]]="US ton",tblWaste[[#This Row],[Weight]]*907.18474,"")))))</f>
        <v>2740</v>
      </c>
      <c r="L146" s="38" t="str">
        <f>IF(tblWaste[[#This Row],[Date]]="","",IFERROR(INDEX(tblRoutes[Class],MATCH(tblWaste[[#This Row],[Route]],tblRoutes[Route],0)),""))</f>
        <v>Material recovery</v>
      </c>
      <c r="M146" s="38" t="str">
        <f>IF(tblWaste[[#This Row],[Date]]="","",IFERROR(INDEX(tblStreams[Hazardous],MATCH(tblWaste[[#This Row],[Stream]],tblStreams[Stream],0)),""))</f>
        <v>No</v>
      </c>
      <c r="N146" s="37">
        <f>IF(tblWaste[[#This Row],[Date]]="","",IF(OR(tblWaste[[#This Row],[Weight (kg)]]="",tblWaste[[#This Row],[Class]]=""),"",IF(OR(tblWaste[[#This Row],[Class]]="Material recovery",AND(tblWaste[[#This Row],[Class]]="Energy recovery",CountER="Yes")),tblWaste[[#This Row],[Weight (kg)]],0)))</f>
        <v>2740</v>
      </c>
      <c r="O146" s="30">
        <f>IF(tblWaste[[#This Row],[Date]]="","",N(tblWaste[[#This Row],[Charge]])-N(tblWaste[[#This Row],[Rebate]]))</f>
        <v>-109.6</v>
      </c>
      <c r="P146" s="39">
        <f>IF(tblWaste[[#This Row],[Date]]="","",IF(AND(tblWaste[[#This Row],[Date]]&gt;=FFrom,tblWaste[[#This Row],[Date]]&lt;=FTo),tblWaste[[#This Row],[Date]],""))</f>
        <v>46206</v>
      </c>
      <c r="Q14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46" s="28" t="s">
        <v>86</v>
      </c>
    </row>
    <row r="147" spans="2:18">
      <c r="B147" s="35">
        <v>46206</v>
      </c>
      <c r="C147" s="28" t="s">
        <v>278</v>
      </c>
      <c r="D147" s="28" t="s">
        <v>95</v>
      </c>
      <c r="E147" s="28" t="s">
        <v>111</v>
      </c>
      <c r="F147" s="28" t="s">
        <v>136</v>
      </c>
      <c r="G147" s="36">
        <v>240</v>
      </c>
      <c r="H147" s="28" t="s">
        <v>77</v>
      </c>
      <c r="I147" s="36">
        <v>67.8</v>
      </c>
      <c r="J147" s="36">
        <v>0</v>
      </c>
      <c r="K147" s="37">
        <f>IF(tblWaste[[#This Row],[Date]]="","",IF(tblWaste[[#This Row],[Unit]]="kg",tblWaste[[#This Row],[Weight]],IF(tblWaste[[#This Row],[Unit]]="t",tblWaste[[#This Row],[Weight]]*1000,IF(tblWaste[[#This Row],[Unit]]="lb",tblWaste[[#This Row],[Weight]]*0.45359237,IF(tblWaste[[#This Row],[Unit]]="US ton",tblWaste[[#This Row],[Weight]]*907.18474,"")))))</f>
        <v>240</v>
      </c>
      <c r="L147" s="38" t="str">
        <f>IF(tblWaste[[#This Row],[Date]]="","",IFERROR(INDEX(tblRoutes[Class],MATCH(tblWaste[[#This Row],[Route]],tblRoutes[Route],0)),""))</f>
        <v>Material recovery</v>
      </c>
      <c r="M147" s="38" t="str">
        <f>IF(tblWaste[[#This Row],[Date]]="","",IFERROR(INDEX(tblStreams[Hazardous],MATCH(tblWaste[[#This Row],[Stream]],tblStreams[Stream],0)),""))</f>
        <v>No</v>
      </c>
      <c r="N147" s="37">
        <f>IF(tblWaste[[#This Row],[Date]]="","",IF(OR(tblWaste[[#This Row],[Weight (kg)]]="",tblWaste[[#This Row],[Class]]=""),"",IF(OR(tblWaste[[#This Row],[Class]]="Material recovery",AND(tblWaste[[#This Row],[Class]]="Energy recovery",CountER="Yes")),tblWaste[[#This Row],[Weight (kg)]],0)))</f>
        <v>240</v>
      </c>
      <c r="O147" s="30">
        <f>IF(tblWaste[[#This Row],[Date]]="","",N(tblWaste[[#This Row],[Charge]])-N(tblWaste[[#This Row],[Rebate]]))</f>
        <v>67.8</v>
      </c>
      <c r="P147" s="39">
        <f>IF(tblWaste[[#This Row],[Date]]="","",IF(AND(tblWaste[[#This Row],[Date]]&gt;=FFrom,tblWaste[[#This Row],[Date]]&lt;=FTo),tblWaste[[#This Row],[Date]],""))</f>
        <v>46206</v>
      </c>
      <c r="Q14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47" s="28" t="s">
        <v>86</v>
      </c>
    </row>
    <row r="148" spans="2:18">
      <c r="B148" s="35">
        <v>46207</v>
      </c>
      <c r="C148" s="28" t="s">
        <v>279</v>
      </c>
      <c r="D148" s="28" t="s">
        <v>81</v>
      </c>
      <c r="E148" s="28" t="s">
        <v>109</v>
      </c>
      <c r="F148" s="28" t="s">
        <v>133</v>
      </c>
      <c r="G148" s="36">
        <v>4.76</v>
      </c>
      <c r="H148" s="28" t="s">
        <v>75</v>
      </c>
      <c r="I148" s="36">
        <v>0</v>
      </c>
      <c r="J148" s="36">
        <v>295.12</v>
      </c>
      <c r="K148" s="37">
        <f>IF(tblWaste[[#This Row],[Date]]="","",IF(tblWaste[[#This Row],[Unit]]="kg",tblWaste[[#This Row],[Weight]],IF(tblWaste[[#This Row],[Unit]]="t",tblWaste[[#This Row],[Weight]]*1000,IF(tblWaste[[#This Row],[Unit]]="lb",tblWaste[[#This Row],[Weight]]*0.45359237,IF(tblWaste[[#This Row],[Unit]]="US ton",tblWaste[[#This Row],[Weight]]*907.18474,"")))))</f>
        <v>4760</v>
      </c>
      <c r="L148" s="38" t="str">
        <f>IF(tblWaste[[#This Row],[Date]]="","",IFERROR(INDEX(tblRoutes[Class],MATCH(tblWaste[[#This Row],[Route]],tblRoutes[Route],0)),""))</f>
        <v>Material recovery</v>
      </c>
      <c r="M148" s="38" t="str">
        <f>IF(tblWaste[[#This Row],[Date]]="","",IFERROR(INDEX(tblStreams[Hazardous],MATCH(tblWaste[[#This Row],[Stream]],tblStreams[Stream],0)),""))</f>
        <v>No</v>
      </c>
      <c r="N148" s="37">
        <f>IF(tblWaste[[#This Row],[Date]]="","",IF(OR(tblWaste[[#This Row],[Weight (kg)]]="",tblWaste[[#This Row],[Class]]=""),"",IF(OR(tblWaste[[#This Row],[Class]]="Material recovery",AND(tblWaste[[#This Row],[Class]]="Energy recovery",CountER="Yes")),tblWaste[[#This Row],[Weight (kg)]],0)))</f>
        <v>4760</v>
      </c>
      <c r="O148" s="30">
        <f>IF(tblWaste[[#This Row],[Date]]="","",N(tblWaste[[#This Row],[Charge]])-N(tblWaste[[#This Row],[Rebate]]))</f>
        <v>-295.12</v>
      </c>
      <c r="P148" s="39">
        <f>IF(tblWaste[[#This Row],[Date]]="","",IF(AND(tblWaste[[#This Row],[Date]]&gt;=FFrom,tblWaste[[#This Row],[Date]]&lt;=FTo),tblWaste[[#This Row],[Date]],""))</f>
        <v>46207</v>
      </c>
      <c r="Q14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48" s="28" t="s">
        <v>86</v>
      </c>
    </row>
    <row r="149" spans="2:18">
      <c r="B149" s="35">
        <v>46207</v>
      </c>
      <c r="C149" s="28" t="s">
        <v>280</v>
      </c>
      <c r="D149" s="28" t="s">
        <v>100</v>
      </c>
      <c r="E149" s="28" t="s">
        <v>118</v>
      </c>
      <c r="F149" s="28" t="s">
        <v>136</v>
      </c>
      <c r="G149" s="36">
        <v>2130</v>
      </c>
      <c r="H149" s="28" t="s">
        <v>77</v>
      </c>
      <c r="I149" s="36">
        <v>296.34</v>
      </c>
      <c r="J149" s="36">
        <v>0</v>
      </c>
      <c r="K149" s="37">
        <f>IF(tblWaste[[#This Row],[Date]]="","",IF(tblWaste[[#This Row],[Unit]]="kg",tblWaste[[#This Row],[Weight]],IF(tblWaste[[#This Row],[Unit]]="t",tblWaste[[#This Row],[Weight]]*1000,IF(tblWaste[[#This Row],[Unit]]="lb",tblWaste[[#This Row],[Weight]]*0.45359237,IF(tblWaste[[#This Row],[Unit]]="US ton",tblWaste[[#This Row],[Weight]]*907.18474,"")))))</f>
        <v>2130</v>
      </c>
      <c r="L149" s="38" t="str">
        <f>IF(tblWaste[[#This Row],[Date]]="","",IFERROR(INDEX(tblRoutes[Class],MATCH(tblWaste[[#This Row],[Route]],tblRoutes[Route],0)),""))</f>
        <v>Disposal</v>
      </c>
      <c r="M149" s="38" t="str">
        <f>IF(tblWaste[[#This Row],[Date]]="","",IFERROR(INDEX(tblStreams[Hazardous],MATCH(tblWaste[[#This Row],[Stream]],tblStreams[Stream],0)),""))</f>
        <v>No</v>
      </c>
      <c r="N149" s="37">
        <f>IF(tblWaste[[#This Row],[Date]]="","",IF(OR(tblWaste[[#This Row],[Weight (kg)]]="",tblWaste[[#This Row],[Class]]=""),"",IF(OR(tblWaste[[#This Row],[Class]]="Material recovery",AND(tblWaste[[#This Row],[Class]]="Energy recovery",CountER="Yes")),tblWaste[[#This Row],[Weight (kg)]],0)))</f>
        <v>0</v>
      </c>
      <c r="O149" s="30">
        <f>IF(tblWaste[[#This Row],[Date]]="","",N(tblWaste[[#This Row],[Charge]])-N(tblWaste[[#This Row],[Rebate]]))</f>
        <v>296.34</v>
      </c>
      <c r="P149" s="39">
        <f>IF(tblWaste[[#This Row],[Date]]="","",IF(AND(tblWaste[[#This Row],[Date]]&gt;=FFrom,tblWaste[[#This Row],[Date]]&lt;=FTo),tblWaste[[#This Row],[Date]],""))</f>
        <v>46207</v>
      </c>
      <c r="Q14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49" s="28" t="s">
        <v>86</v>
      </c>
    </row>
    <row r="150" spans="2:18">
      <c r="B150" s="35">
        <v>46208</v>
      </c>
      <c r="C150" s="28" t="s">
        <v>281</v>
      </c>
      <c r="D150" s="28" t="s">
        <v>93</v>
      </c>
      <c r="E150" s="28" t="s">
        <v>109</v>
      </c>
      <c r="F150" s="28" t="s">
        <v>140</v>
      </c>
      <c r="G150" s="36">
        <v>1100</v>
      </c>
      <c r="H150" s="28" t="s">
        <v>77</v>
      </c>
      <c r="I150" s="36">
        <v>0</v>
      </c>
      <c r="J150" s="36">
        <v>159.5</v>
      </c>
      <c r="K150" s="37">
        <f>IF(tblWaste[[#This Row],[Date]]="","",IF(tblWaste[[#This Row],[Unit]]="kg",tblWaste[[#This Row],[Weight]],IF(tblWaste[[#This Row],[Unit]]="t",tblWaste[[#This Row],[Weight]]*1000,IF(tblWaste[[#This Row],[Unit]]="lb",tblWaste[[#This Row],[Weight]]*0.45359237,IF(tblWaste[[#This Row],[Unit]]="US ton",tblWaste[[#This Row],[Weight]]*907.18474,"")))))</f>
        <v>1100</v>
      </c>
      <c r="L150" s="38" t="str">
        <f>IF(tblWaste[[#This Row],[Date]]="","",IFERROR(INDEX(tblRoutes[Class],MATCH(tblWaste[[#This Row],[Route]],tblRoutes[Route],0)),""))</f>
        <v>Material recovery</v>
      </c>
      <c r="M150" s="38" t="str">
        <f>IF(tblWaste[[#This Row],[Date]]="","",IFERROR(INDEX(tblStreams[Hazardous],MATCH(tblWaste[[#This Row],[Stream]],tblStreams[Stream],0)),""))</f>
        <v>No</v>
      </c>
      <c r="N150" s="37">
        <f>IF(tblWaste[[#This Row],[Date]]="","",IF(OR(tblWaste[[#This Row],[Weight (kg)]]="",tblWaste[[#This Row],[Class]]=""),"",IF(OR(tblWaste[[#This Row],[Class]]="Material recovery",AND(tblWaste[[#This Row],[Class]]="Energy recovery",CountER="Yes")),tblWaste[[#This Row],[Weight (kg)]],0)))</f>
        <v>1100</v>
      </c>
      <c r="O150" s="30">
        <f>IF(tblWaste[[#This Row],[Date]]="","",N(tblWaste[[#This Row],[Charge]])-N(tblWaste[[#This Row],[Rebate]]))</f>
        <v>-159.5</v>
      </c>
      <c r="P150" s="39">
        <f>IF(tblWaste[[#This Row],[Date]]="","",IF(AND(tblWaste[[#This Row],[Date]]&gt;=FFrom,tblWaste[[#This Row],[Date]]&lt;=FTo),tblWaste[[#This Row],[Date]],""))</f>
        <v>46208</v>
      </c>
      <c r="Q15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50" s="28" t="s">
        <v>86</v>
      </c>
    </row>
    <row r="151" spans="2:18">
      <c r="B151" s="35">
        <v>46209</v>
      </c>
      <c r="C151" s="28" t="s">
        <v>282</v>
      </c>
      <c r="D151" s="28" t="s">
        <v>90</v>
      </c>
      <c r="E151" s="28" t="s">
        <v>106</v>
      </c>
      <c r="F151" s="28" t="s">
        <v>138</v>
      </c>
      <c r="G151" s="36">
        <v>1580</v>
      </c>
      <c r="H151" s="28" t="s">
        <v>77</v>
      </c>
      <c r="I151" s="36">
        <v>100.3</v>
      </c>
      <c r="J151" s="36">
        <v>0</v>
      </c>
      <c r="K151" s="37">
        <f>IF(tblWaste[[#This Row],[Date]]="","",IF(tblWaste[[#This Row],[Unit]]="kg",tblWaste[[#This Row],[Weight]],IF(tblWaste[[#This Row],[Unit]]="t",tblWaste[[#This Row],[Weight]]*1000,IF(tblWaste[[#This Row],[Unit]]="lb",tblWaste[[#This Row],[Weight]]*0.45359237,IF(tblWaste[[#This Row],[Unit]]="US ton",tblWaste[[#This Row],[Weight]]*907.18474,"")))))</f>
        <v>1580</v>
      </c>
      <c r="L151" s="38" t="str">
        <f>IF(tblWaste[[#This Row],[Date]]="","",IFERROR(INDEX(tblRoutes[Class],MATCH(tblWaste[[#This Row],[Route]],tblRoutes[Route],0)),""))</f>
        <v>Material recovery</v>
      </c>
      <c r="M151" s="38" t="str">
        <f>IF(tblWaste[[#This Row],[Date]]="","",IFERROR(INDEX(tblStreams[Hazardous],MATCH(tblWaste[[#This Row],[Stream]],tblStreams[Stream],0)),""))</f>
        <v>No</v>
      </c>
      <c r="N151" s="37">
        <f>IF(tblWaste[[#This Row],[Date]]="","",IF(OR(tblWaste[[#This Row],[Weight (kg)]]="",tblWaste[[#This Row],[Class]]=""),"",IF(OR(tblWaste[[#This Row],[Class]]="Material recovery",AND(tblWaste[[#This Row],[Class]]="Energy recovery",CountER="Yes")),tblWaste[[#This Row],[Weight (kg)]],0)))</f>
        <v>1580</v>
      </c>
      <c r="O151" s="30">
        <f>IF(tblWaste[[#This Row],[Date]]="","",N(tblWaste[[#This Row],[Charge]])-N(tblWaste[[#This Row],[Rebate]]))</f>
        <v>100.3</v>
      </c>
      <c r="P151" s="39">
        <f>IF(tblWaste[[#This Row],[Date]]="","",IF(AND(tblWaste[[#This Row],[Date]]&gt;=FFrom,tblWaste[[#This Row],[Date]]&lt;=FTo),tblWaste[[#This Row],[Date]],""))</f>
        <v>46209</v>
      </c>
      <c r="Q15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51" s="28" t="s">
        <v>86</v>
      </c>
    </row>
    <row r="152" spans="2:18">
      <c r="B152" s="35">
        <v>46214</v>
      </c>
      <c r="C152" s="28" t="s">
        <v>283</v>
      </c>
      <c r="D152" s="28" t="s">
        <v>100</v>
      </c>
      <c r="E152" s="28" t="s">
        <v>118</v>
      </c>
      <c r="F152" s="28" t="s">
        <v>136</v>
      </c>
      <c r="G152" s="36">
        <v>1860</v>
      </c>
      <c r="H152" s="28" t="s">
        <v>77</v>
      </c>
      <c r="I152" s="36">
        <v>264.48</v>
      </c>
      <c r="J152" s="36">
        <v>0</v>
      </c>
      <c r="K152" s="37">
        <f>IF(tblWaste[[#This Row],[Date]]="","",IF(tblWaste[[#This Row],[Unit]]="kg",tblWaste[[#This Row],[Weight]],IF(tblWaste[[#This Row],[Unit]]="t",tblWaste[[#This Row],[Weight]]*1000,IF(tblWaste[[#This Row],[Unit]]="lb",tblWaste[[#This Row],[Weight]]*0.45359237,IF(tblWaste[[#This Row],[Unit]]="US ton",tblWaste[[#This Row],[Weight]]*907.18474,"")))))</f>
        <v>1860</v>
      </c>
      <c r="L152" s="38" t="str">
        <f>IF(tblWaste[[#This Row],[Date]]="","",IFERROR(INDEX(tblRoutes[Class],MATCH(tblWaste[[#This Row],[Route]],tblRoutes[Route],0)),""))</f>
        <v>Disposal</v>
      </c>
      <c r="M152" s="38" t="str">
        <f>IF(tblWaste[[#This Row],[Date]]="","",IFERROR(INDEX(tblStreams[Hazardous],MATCH(tblWaste[[#This Row],[Stream]],tblStreams[Stream],0)),""))</f>
        <v>No</v>
      </c>
      <c r="N152" s="37">
        <f>IF(tblWaste[[#This Row],[Date]]="","",IF(OR(tblWaste[[#This Row],[Weight (kg)]]="",tblWaste[[#This Row],[Class]]=""),"",IF(OR(tblWaste[[#This Row],[Class]]="Material recovery",AND(tblWaste[[#This Row],[Class]]="Energy recovery",CountER="Yes")),tblWaste[[#This Row],[Weight (kg)]],0)))</f>
        <v>0</v>
      </c>
      <c r="O152" s="30">
        <f>IF(tblWaste[[#This Row],[Date]]="","",N(tblWaste[[#This Row],[Charge]])-N(tblWaste[[#This Row],[Rebate]]))</f>
        <v>264.48</v>
      </c>
      <c r="P152" s="39">
        <f>IF(tblWaste[[#This Row],[Date]]="","",IF(AND(tblWaste[[#This Row],[Date]]&gt;=FFrom,tblWaste[[#This Row],[Date]]&lt;=FTo),tblWaste[[#This Row],[Date]],""))</f>
        <v>46214</v>
      </c>
      <c r="Q15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52" s="28" t="s">
        <v>86</v>
      </c>
    </row>
    <row r="153" spans="2:18">
      <c r="B153" s="35">
        <v>46215</v>
      </c>
      <c r="C153" s="28" t="s">
        <v>284</v>
      </c>
      <c r="D153" s="28" t="s">
        <v>87</v>
      </c>
      <c r="E153" s="28" t="s">
        <v>109</v>
      </c>
      <c r="F153" s="28" t="s">
        <v>133</v>
      </c>
      <c r="G153" s="36">
        <v>2700</v>
      </c>
      <c r="H153" s="28" t="s">
        <v>77</v>
      </c>
      <c r="I153" s="36">
        <v>0</v>
      </c>
      <c r="J153" s="36">
        <v>108</v>
      </c>
      <c r="K153" s="37">
        <f>IF(tblWaste[[#This Row],[Date]]="","",IF(tblWaste[[#This Row],[Unit]]="kg",tblWaste[[#This Row],[Weight]],IF(tblWaste[[#This Row],[Unit]]="t",tblWaste[[#This Row],[Weight]]*1000,IF(tblWaste[[#This Row],[Unit]]="lb",tblWaste[[#This Row],[Weight]]*0.45359237,IF(tblWaste[[#This Row],[Unit]]="US ton",tblWaste[[#This Row],[Weight]]*907.18474,"")))))</f>
        <v>2700</v>
      </c>
      <c r="L153" s="38" t="str">
        <f>IF(tblWaste[[#This Row],[Date]]="","",IFERROR(INDEX(tblRoutes[Class],MATCH(tblWaste[[#This Row],[Route]],tblRoutes[Route],0)),""))</f>
        <v>Material recovery</v>
      </c>
      <c r="M153" s="38" t="str">
        <f>IF(tblWaste[[#This Row],[Date]]="","",IFERROR(INDEX(tblStreams[Hazardous],MATCH(tblWaste[[#This Row],[Stream]],tblStreams[Stream],0)),""))</f>
        <v>No</v>
      </c>
      <c r="N153" s="37">
        <f>IF(tblWaste[[#This Row],[Date]]="","",IF(OR(tblWaste[[#This Row],[Weight (kg)]]="",tblWaste[[#This Row],[Class]]=""),"",IF(OR(tblWaste[[#This Row],[Class]]="Material recovery",AND(tblWaste[[#This Row],[Class]]="Energy recovery",CountER="Yes")),tblWaste[[#This Row],[Weight (kg)]],0)))</f>
        <v>2700</v>
      </c>
      <c r="O153" s="30">
        <f>IF(tblWaste[[#This Row],[Date]]="","",N(tblWaste[[#This Row],[Charge]])-N(tblWaste[[#This Row],[Rebate]]))</f>
        <v>-108</v>
      </c>
      <c r="P153" s="39">
        <f>IF(tblWaste[[#This Row],[Date]]="","",IF(AND(tblWaste[[#This Row],[Date]]&gt;=FFrom,tblWaste[[#This Row],[Date]]&lt;=FTo),tblWaste[[#This Row],[Date]],""))</f>
        <v>46215</v>
      </c>
      <c r="Q15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53" s="28" t="s">
        <v>86</v>
      </c>
    </row>
    <row r="154" spans="2:18">
      <c r="B154" s="35">
        <v>46216</v>
      </c>
      <c r="C154" s="28" t="s">
        <v>285</v>
      </c>
      <c r="D154" s="28" t="s">
        <v>81</v>
      </c>
      <c r="E154" s="28" t="s">
        <v>109</v>
      </c>
      <c r="F154" s="28" t="s">
        <v>133</v>
      </c>
      <c r="G154" s="36">
        <v>5.31</v>
      </c>
      <c r="H154" s="28" t="s">
        <v>75</v>
      </c>
      <c r="I154" s="36">
        <v>0</v>
      </c>
      <c r="J154" s="36">
        <v>329.22</v>
      </c>
      <c r="K154" s="37">
        <f>IF(tblWaste[[#This Row],[Date]]="","",IF(tblWaste[[#This Row],[Unit]]="kg",tblWaste[[#This Row],[Weight]],IF(tblWaste[[#This Row],[Unit]]="t",tblWaste[[#This Row],[Weight]]*1000,IF(tblWaste[[#This Row],[Unit]]="lb",tblWaste[[#This Row],[Weight]]*0.45359237,IF(tblWaste[[#This Row],[Unit]]="US ton",tblWaste[[#This Row],[Weight]]*907.18474,"")))))</f>
        <v>5310</v>
      </c>
      <c r="L154" s="38" t="str">
        <f>IF(tblWaste[[#This Row],[Date]]="","",IFERROR(INDEX(tblRoutes[Class],MATCH(tblWaste[[#This Row],[Route]],tblRoutes[Route],0)),""))</f>
        <v>Material recovery</v>
      </c>
      <c r="M154" s="38" t="str">
        <f>IF(tblWaste[[#This Row],[Date]]="","",IFERROR(INDEX(tblStreams[Hazardous],MATCH(tblWaste[[#This Row],[Stream]],tblStreams[Stream],0)),""))</f>
        <v>No</v>
      </c>
      <c r="N154" s="37">
        <f>IF(tblWaste[[#This Row],[Date]]="","",IF(OR(tblWaste[[#This Row],[Weight (kg)]]="",tblWaste[[#This Row],[Class]]=""),"",IF(OR(tblWaste[[#This Row],[Class]]="Material recovery",AND(tblWaste[[#This Row],[Class]]="Energy recovery",CountER="Yes")),tblWaste[[#This Row],[Weight (kg)]],0)))</f>
        <v>5310</v>
      </c>
      <c r="O154" s="30">
        <f>IF(tblWaste[[#This Row],[Date]]="","",N(tblWaste[[#This Row],[Charge]])-N(tblWaste[[#This Row],[Rebate]]))</f>
        <v>-329.22</v>
      </c>
      <c r="P154" s="39">
        <f>IF(tblWaste[[#This Row],[Date]]="","",IF(AND(tblWaste[[#This Row],[Date]]&gt;=FFrom,tblWaste[[#This Row],[Date]]&lt;=FTo),tblWaste[[#This Row],[Date]],""))</f>
        <v>46216</v>
      </c>
      <c r="Q15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54" s="28" t="s">
        <v>86</v>
      </c>
    </row>
    <row r="155" spans="2:18">
      <c r="B155" s="35">
        <v>46216</v>
      </c>
      <c r="C155" s="28" t="s">
        <v>286</v>
      </c>
      <c r="D155" s="28" t="s">
        <v>95</v>
      </c>
      <c r="E155" s="28" t="s">
        <v>111</v>
      </c>
      <c r="F155" s="28" t="s">
        <v>136</v>
      </c>
      <c r="G155" s="36">
        <v>260</v>
      </c>
      <c r="H155" s="28" t="s">
        <v>77</v>
      </c>
      <c r="I155" s="36">
        <v>69.7</v>
      </c>
      <c r="J155" s="36">
        <v>0</v>
      </c>
      <c r="K155" s="37">
        <f>IF(tblWaste[[#This Row],[Date]]="","",IF(tblWaste[[#This Row],[Unit]]="kg",tblWaste[[#This Row],[Weight]],IF(tblWaste[[#This Row],[Unit]]="t",tblWaste[[#This Row],[Weight]]*1000,IF(tblWaste[[#This Row],[Unit]]="lb",tblWaste[[#This Row],[Weight]]*0.45359237,IF(tblWaste[[#This Row],[Unit]]="US ton",tblWaste[[#This Row],[Weight]]*907.18474,"")))))</f>
        <v>260</v>
      </c>
      <c r="L155" s="38" t="str">
        <f>IF(tblWaste[[#This Row],[Date]]="","",IFERROR(INDEX(tblRoutes[Class],MATCH(tblWaste[[#This Row],[Route]],tblRoutes[Route],0)),""))</f>
        <v>Material recovery</v>
      </c>
      <c r="M155" s="38" t="str">
        <f>IF(tblWaste[[#This Row],[Date]]="","",IFERROR(INDEX(tblStreams[Hazardous],MATCH(tblWaste[[#This Row],[Stream]],tblStreams[Stream],0)),""))</f>
        <v>No</v>
      </c>
      <c r="N155" s="37">
        <f>IF(tblWaste[[#This Row],[Date]]="","",IF(OR(tblWaste[[#This Row],[Weight (kg)]]="",tblWaste[[#This Row],[Class]]=""),"",IF(OR(tblWaste[[#This Row],[Class]]="Material recovery",AND(tblWaste[[#This Row],[Class]]="Energy recovery",CountER="Yes")),tblWaste[[#This Row],[Weight (kg)]],0)))</f>
        <v>260</v>
      </c>
      <c r="O155" s="30">
        <f>IF(tblWaste[[#This Row],[Date]]="","",N(tblWaste[[#This Row],[Charge]])-N(tblWaste[[#This Row],[Rebate]]))</f>
        <v>69.7</v>
      </c>
      <c r="P155" s="39">
        <f>IF(tblWaste[[#This Row],[Date]]="","",IF(AND(tblWaste[[#This Row],[Date]]&gt;=FFrom,tblWaste[[#This Row],[Date]]&lt;=FTo),tblWaste[[#This Row],[Date]],""))</f>
        <v>46216</v>
      </c>
      <c r="Q15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55" s="28" t="s">
        <v>86</v>
      </c>
    </row>
    <row r="156" spans="2:18">
      <c r="B156" s="35">
        <v>46220</v>
      </c>
      <c r="C156" s="28" t="s">
        <v>287</v>
      </c>
      <c r="D156" s="28" t="s">
        <v>100</v>
      </c>
      <c r="E156" s="28" t="s">
        <v>118</v>
      </c>
      <c r="F156" s="28" t="s">
        <v>136</v>
      </c>
      <c r="G156" s="36">
        <v>2120</v>
      </c>
      <c r="H156" s="28" t="s">
        <v>77</v>
      </c>
      <c r="I156" s="36">
        <v>295.16</v>
      </c>
      <c r="J156" s="36">
        <v>0</v>
      </c>
      <c r="K156" s="37">
        <f>IF(tblWaste[[#This Row],[Date]]="","",IF(tblWaste[[#This Row],[Unit]]="kg",tblWaste[[#This Row],[Weight]],IF(tblWaste[[#This Row],[Unit]]="t",tblWaste[[#This Row],[Weight]]*1000,IF(tblWaste[[#This Row],[Unit]]="lb",tblWaste[[#This Row],[Weight]]*0.45359237,IF(tblWaste[[#This Row],[Unit]]="US ton",tblWaste[[#This Row],[Weight]]*907.18474,"")))))</f>
        <v>2120</v>
      </c>
      <c r="L156" s="38" t="str">
        <f>IF(tblWaste[[#This Row],[Date]]="","",IFERROR(INDEX(tblRoutes[Class],MATCH(tblWaste[[#This Row],[Route]],tblRoutes[Route],0)),""))</f>
        <v>Disposal</v>
      </c>
      <c r="M156" s="38" t="str">
        <f>IF(tblWaste[[#This Row],[Date]]="","",IFERROR(INDEX(tblStreams[Hazardous],MATCH(tblWaste[[#This Row],[Stream]],tblStreams[Stream],0)),""))</f>
        <v>No</v>
      </c>
      <c r="N156" s="37">
        <f>IF(tblWaste[[#This Row],[Date]]="","",IF(OR(tblWaste[[#This Row],[Weight (kg)]]="",tblWaste[[#This Row],[Class]]=""),"",IF(OR(tblWaste[[#This Row],[Class]]="Material recovery",AND(tblWaste[[#This Row],[Class]]="Energy recovery",CountER="Yes")),tblWaste[[#This Row],[Weight (kg)]],0)))</f>
        <v>0</v>
      </c>
      <c r="O156" s="30">
        <f>IF(tblWaste[[#This Row],[Date]]="","",N(tblWaste[[#This Row],[Charge]])-N(tblWaste[[#This Row],[Rebate]]))</f>
        <v>295.16</v>
      </c>
      <c r="P156" s="39">
        <f>IF(tblWaste[[#This Row],[Date]]="","",IF(AND(tblWaste[[#This Row],[Date]]&gt;=FFrom,tblWaste[[#This Row],[Date]]&lt;=FTo),tblWaste[[#This Row],[Date]],""))</f>
        <v>46220</v>
      </c>
      <c r="Q15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56" s="28" t="s">
        <v>86</v>
      </c>
    </row>
    <row r="157" spans="2:18">
      <c r="B157" s="35">
        <v>46223</v>
      </c>
      <c r="C157" s="28" t="s">
        <v>288</v>
      </c>
      <c r="D157" s="28" t="s">
        <v>81</v>
      </c>
      <c r="E157" s="28" t="s">
        <v>109</v>
      </c>
      <c r="F157" s="28" t="s">
        <v>133</v>
      </c>
      <c r="G157" s="36">
        <v>5.47</v>
      </c>
      <c r="H157" s="28" t="s">
        <v>75</v>
      </c>
      <c r="I157" s="36">
        <v>0</v>
      </c>
      <c r="J157" s="36">
        <v>339.14</v>
      </c>
      <c r="K157" s="37">
        <f>IF(tblWaste[[#This Row],[Date]]="","",IF(tblWaste[[#This Row],[Unit]]="kg",tblWaste[[#This Row],[Weight]],IF(tblWaste[[#This Row],[Unit]]="t",tblWaste[[#This Row],[Weight]]*1000,IF(tblWaste[[#This Row],[Unit]]="lb",tblWaste[[#This Row],[Weight]]*0.45359237,IF(tblWaste[[#This Row],[Unit]]="US ton",tblWaste[[#This Row],[Weight]]*907.18474,"")))))</f>
        <v>5470</v>
      </c>
      <c r="L157" s="38" t="str">
        <f>IF(tblWaste[[#This Row],[Date]]="","",IFERROR(INDEX(tblRoutes[Class],MATCH(tblWaste[[#This Row],[Route]],tblRoutes[Route],0)),""))</f>
        <v>Material recovery</v>
      </c>
      <c r="M157" s="38" t="str">
        <f>IF(tblWaste[[#This Row],[Date]]="","",IFERROR(INDEX(tblStreams[Hazardous],MATCH(tblWaste[[#This Row],[Stream]],tblStreams[Stream],0)),""))</f>
        <v>No</v>
      </c>
      <c r="N157" s="37">
        <f>IF(tblWaste[[#This Row],[Date]]="","",IF(OR(tblWaste[[#This Row],[Weight (kg)]]="",tblWaste[[#This Row],[Class]]=""),"",IF(OR(tblWaste[[#This Row],[Class]]="Material recovery",AND(tblWaste[[#This Row],[Class]]="Energy recovery",CountER="Yes")),tblWaste[[#This Row],[Weight (kg)]],0)))</f>
        <v>5470</v>
      </c>
      <c r="O157" s="30">
        <f>IF(tblWaste[[#This Row],[Date]]="","",N(tblWaste[[#This Row],[Charge]])-N(tblWaste[[#This Row],[Rebate]]))</f>
        <v>-339.14</v>
      </c>
      <c r="P157" s="39">
        <f>IF(tblWaste[[#This Row],[Date]]="","",IF(AND(tblWaste[[#This Row],[Date]]&gt;=FFrom,tblWaste[[#This Row],[Date]]&lt;=FTo),tblWaste[[#This Row],[Date]],""))</f>
        <v>46223</v>
      </c>
      <c r="Q15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57" s="28" t="s">
        <v>86</v>
      </c>
    </row>
    <row r="158" spans="2:18">
      <c r="B158" s="35">
        <v>46230</v>
      </c>
      <c r="C158" s="28" t="s">
        <v>289</v>
      </c>
      <c r="D158" s="28" t="s">
        <v>81</v>
      </c>
      <c r="E158" s="28" t="s">
        <v>109</v>
      </c>
      <c r="F158" s="28" t="s">
        <v>133</v>
      </c>
      <c r="G158" s="36">
        <v>5.88</v>
      </c>
      <c r="H158" s="28" t="s">
        <v>75</v>
      </c>
      <c r="I158" s="36">
        <v>0</v>
      </c>
      <c r="J158" s="36">
        <v>364.56</v>
      </c>
      <c r="K158" s="37">
        <f>IF(tblWaste[[#This Row],[Date]]="","",IF(tblWaste[[#This Row],[Unit]]="kg",tblWaste[[#This Row],[Weight]],IF(tblWaste[[#This Row],[Unit]]="t",tblWaste[[#This Row],[Weight]]*1000,IF(tblWaste[[#This Row],[Unit]]="lb",tblWaste[[#This Row],[Weight]]*0.45359237,IF(tblWaste[[#This Row],[Unit]]="US ton",tblWaste[[#This Row],[Weight]]*907.18474,"")))))</f>
        <v>5880</v>
      </c>
      <c r="L158" s="38" t="str">
        <f>IF(tblWaste[[#This Row],[Date]]="","",IFERROR(INDEX(tblRoutes[Class],MATCH(tblWaste[[#This Row],[Route]],tblRoutes[Route],0)),""))</f>
        <v>Material recovery</v>
      </c>
      <c r="M158" s="38" t="str">
        <f>IF(tblWaste[[#This Row],[Date]]="","",IFERROR(INDEX(tblStreams[Hazardous],MATCH(tblWaste[[#This Row],[Stream]],tblStreams[Stream],0)),""))</f>
        <v>No</v>
      </c>
      <c r="N158" s="37">
        <f>IF(tblWaste[[#This Row],[Date]]="","",IF(OR(tblWaste[[#This Row],[Weight (kg)]]="",tblWaste[[#This Row],[Class]]=""),"",IF(OR(tblWaste[[#This Row],[Class]]="Material recovery",AND(tblWaste[[#This Row],[Class]]="Energy recovery",CountER="Yes")),tblWaste[[#This Row],[Weight (kg)]],0)))</f>
        <v>5880</v>
      </c>
      <c r="O158" s="30">
        <f>IF(tblWaste[[#This Row],[Date]]="","",N(tblWaste[[#This Row],[Charge]])-N(tblWaste[[#This Row],[Rebate]]))</f>
        <v>-364.56</v>
      </c>
      <c r="P158" s="39">
        <f>IF(tblWaste[[#This Row],[Date]]="","",IF(AND(tblWaste[[#This Row],[Date]]&gt;=FFrom,tblWaste[[#This Row],[Date]]&lt;=FTo),tblWaste[[#This Row],[Date]],""))</f>
        <v>46230</v>
      </c>
      <c r="Q15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58" s="28" t="s">
        <v>86</v>
      </c>
    </row>
    <row r="159" spans="2:18">
      <c r="B159" s="35">
        <v>46230</v>
      </c>
      <c r="C159" s="28" t="s">
        <v>290</v>
      </c>
      <c r="D159" s="28" t="s">
        <v>100</v>
      </c>
      <c r="E159" s="28" t="s">
        <v>118</v>
      </c>
      <c r="F159" s="28" t="s">
        <v>136</v>
      </c>
      <c r="G159" s="36">
        <v>1720</v>
      </c>
      <c r="H159" s="28" t="s">
        <v>77</v>
      </c>
      <c r="I159" s="36">
        <v>247.96</v>
      </c>
      <c r="J159" s="36">
        <v>0</v>
      </c>
      <c r="K159" s="37">
        <f>IF(tblWaste[[#This Row],[Date]]="","",IF(tblWaste[[#This Row],[Unit]]="kg",tblWaste[[#This Row],[Weight]],IF(tblWaste[[#This Row],[Unit]]="t",tblWaste[[#This Row],[Weight]]*1000,IF(tblWaste[[#This Row],[Unit]]="lb",tblWaste[[#This Row],[Weight]]*0.45359237,IF(tblWaste[[#This Row],[Unit]]="US ton",tblWaste[[#This Row],[Weight]]*907.18474,"")))))</f>
        <v>1720</v>
      </c>
      <c r="L159" s="38" t="str">
        <f>IF(tblWaste[[#This Row],[Date]]="","",IFERROR(INDEX(tblRoutes[Class],MATCH(tblWaste[[#This Row],[Route]],tblRoutes[Route],0)),""))</f>
        <v>Disposal</v>
      </c>
      <c r="M159" s="38" t="str">
        <f>IF(tblWaste[[#This Row],[Date]]="","",IFERROR(INDEX(tblStreams[Hazardous],MATCH(tblWaste[[#This Row],[Stream]],tblStreams[Stream],0)),""))</f>
        <v>No</v>
      </c>
      <c r="N159" s="37">
        <f>IF(tblWaste[[#This Row],[Date]]="","",IF(OR(tblWaste[[#This Row],[Weight (kg)]]="",tblWaste[[#This Row],[Class]]=""),"",IF(OR(tblWaste[[#This Row],[Class]]="Material recovery",AND(tblWaste[[#This Row],[Class]]="Energy recovery",CountER="Yes")),tblWaste[[#This Row],[Weight (kg)]],0)))</f>
        <v>0</v>
      </c>
      <c r="O159" s="30">
        <f>IF(tblWaste[[#This Row],[Date]]="","",N(tblWaste[[#This Row],[Charge]])-N(tblWaste[[#This Row],[Rebate]]))</f>
        <v>247.96</v>
      </c>
      <c r="P159" s="39">
        <f>IF(tblWaste[[#This Row],[Date]]="","",IF(AND(tblWaste[[#This Row],[Date]]&gt;=FFrom,tblWaste[[#This Row],[Date]]&lt;=FTo),tblWaste[[#This Row],[Date]],""))</f>
        <v>46230</v>
      </c>
      <c r="Q15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59" s="28" t="s">
        <v>86</v>
      </c>
    </row>
    <row r="160" spans="2:18">
      <c r="B160" s="35">
        <v>46237</v>
      </c>
      <c r="C160" s="28" t="s">
        <v>291</v>
      </c>
      <c r="D160" s="28" t="s">
        <v>81</v>
      </c>
      <c r="E160" s="28" t="s">
        <v>109</v>
      </c>
      <c r="F160" s="28" t="s">
        <v>133</v>
      </c>
      <c r="G160" s="36">
        <v>4.57</v>
      </c>
      <c r="H160" s="28" t="s">
        <v>75</v>
      </c>
      <c r="I160" s="36">
        <v>0</v>
      </c>
      <c r="J160" s="36">
        <v>283.34</v>
      </c>
      <c r="K160" s="37">
        <f>IF(tblWaste[[#This Row],[Date]]="","",IF(tblWaste[[#This Row],[Unit]]="kg",tblWaste[[#This Row],[Weight]],IF(tblWaste[[#This Row],[Unit]]="t",tblWaste[[#This Row],[Weight]]*1000,IF(tblWaste[[#This Row],[Unit]]="lb",tblWaste[[#This Row],[Weight]]*0.45359237,IF(tblWaste[[#This Row],[Unit]]="US ton",tblWaste[[#This Row],[Weight]]*907.18474,"")))))</f>
        <v>4570</v>
      </c>
      <c r="L160" s="38" t="str">
        <f>IF(tblWaste[[#This Row],[Date]]="","",IFERROR(INDEX(tblRoutes[Class],MATCH(tblWaste[[#This Row],[Route]],tblRoutes[Route],0)),""))</f>
        <v>Material recovery</v>
      </c>
      <c r="M160" s="38" t="str">
        <f>IF(tblWaste[[#This Row],[Date]]="","",IFERROR(INDEX(tblStreams[Hazardous],MATCH(tblWaste[[#This Row],[Stream]],tblStreams[Stream],0)),""))</f>
        <v>No</v>
      </c>
      <c r="N160" s="37">
        <f>IF(tblWaste[[#This Row],[Date]]="","",IF(OR(tblWaste[[#This Row],[Weight (kg)]]="",tblWaste[[#This Row],[Class]]=""),"",IF(OR(tblWaste[[#This Row],[Class]]="Material recovery",AND(tblWaste[[#This Row],[Class]]="Energy recovery",CountER="Yes")),tblWaste[[#This Row],[Weight (kg)]],0)))</f>
        <v>4570</v>
      </c>
      <c r="O160" s="30">
        <f>IF(tblWaste[[#This Row],[Date]]="","",N(tblWaste[[#This Row],[Charge]])-N(tblWaste[[#This Row],[Rebate]]))</f>
        <v>-283.34</v>
      </c>
      <c r="P160" s="39">
        <f>IF(tblWaste[[#This Row],[Date]]="","",IF(AND(tblWaste[[#This Row],[Date]]&gt;=FFrom,tblWaste[[#This Row],[Date]]&lt;=FTo),tblWaste[[#This Row],[Date]],""))</f>
        <v>46237</v>
      </c>
      <c r="Q16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60" s="28" t="s">
        <v>86</v>
      </c>
    </row>
    <row r="161" spans="2:18">
      <c r="B161" s="35">
        <v>46238</v>
      </c>
      <c r="C161" s="28" t="s">
        <v>292</v>
      </c>
      <c r="D161" s="28" t="s">
        <v>100</v>
      </c>
      <c r="E161" s="28" t="s">
        <v>118</v>
      </c>
      <c r="F161" s="28" t="s">
        <v>136</v>
      </c>
      <c r="G161" s="36">
        <v>1900</v>
      </c>
      <c r="H161" s="28" t="s">
        <v>77</v>
      </c>
      <c r="I161" s="36">
        <v>269.2</v>
      </c>
      <c r="J161" s="36">
        <v>0</v>
      </c>
      <c r="K161" s="37">
        <f>IF(tblWaste[[#This Row],[Date]]="","",IF(tblWaste[[#This Row],[Unit]]="kg",tblWaste[[#This Row],[Weight]],IF(tblWaste[[#This Row],[Unit]]="t",tblWaste[[#This Row],[Weight]]*1000,IF(tblWaste[[#This Row],[Unit]]="lb",tblWaste[[#This Row],[Weight]]*0.45359237,IF(tblWaste[[#This Row],[Unit]]="US ton",tblWaste[[#This Row],[Weight]]*907.18474,"")))))</f>
        <v>1900</v>
      </c>
      <c r="L161" s="38" t="str">
        <f>IF(tblWaste[[#This Row],[Date]]="","",IFERROR(INDEX(tblRoutes[Class],MATCH(tblWaste[[#This Row],[Route]],tblRoutes[Route],0)),""))</f>
        <v>Disposal</v>
      </c>
      <c r="M161" s="38" t="str">
        <f>IF(tblWaste[[#This Row],[Date]]="","",IFERROR(INDEX(tblStreams[Hazardous],MATCH(tblWaste[[#This Row],[Stream]],tblStreams[Stream],0)),""))</f>
        <v>No</v>
      </c>
      <c r="N161" s="37">
        <f>IF(tblWaste[[#This Row],[Date]]="","",IF(OR(tblWaste[[#This Row],[Weight (kg)]]="",tblWaste[[#This Row],[Class]]=""),"",IF(OR(tblWaste[[#This Row],[Class]]="Material recovery",AND(tblWaste[[#This Row],[Class]]="Energy recovery",CountER="Yes")),tblWaste[[#This Row],[Weight (kg)]],0)))</f>
        <v>0</v>
      </c>
      <c r="O161" s="30">
        <f>IF(tblWaste[[#This Row],[Date]]="","",N(tblWaste[[#This Row],[Charge]])-N(tblWaste[[#This Row],[Rebate]]))</f>
        <v>269.2</v>
      </c>
      <c r="P161" s="39">
        <f>IF(tblWaste[[#This Row],[Date]]="","",IF(AND(tblWaste[[#This Row],[Date]]&gt;=FFrom,tblWaste[[#This Row],[Date]]&lt;=FTo),tblWaste[[#This Row],[Date]],""))</f>
        <v>46238</v>
      </c>
      <c r="Q16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61" s="28" t="s">
        <v>86</v>
      </c>
    </row>
    <row r="162" spans="2:18">
      <c r="B162" s="35">
        <v>46239</v>
      </c>
      <c r="C162" s="28" t="s">
        <v>293</v>
      </c>
      <c r="D162" s="28" t="s">
        <v>90</v>
      </c>
      <c r="E162" s="28" t="s">
        <v>109</v>
      </c>
      <c r="F162" s="28" t="s">
        <v>138</v>
      </c>
      <c r="G162" s="36">
        <v>1540</v>
      </c>
      <c r="H162" s="28" t="s">
        <v>77</v>
      </c>
      <c r="I162" s="36">
        <v>98.90000000000001</v>
      </c>
      <c r="J162" s="36">
        <v>0</v>
      </c>
      <c r="K162" s="37">
        <f>IF(tblWaste[[#This Row],[Date]]="","",IF(tblWaste[[#This Row],[Unit]]="kg",tblWaste[[#This Row],[Weight]],IF(tblWaste[[#This Row],[Unit]]="t",tblWaste[[#This Row],[Weight]]*1000,IF(tblWaste[[#This Row],[Unit]]="lb",tblWaste[[#This Row],[Weight]]*0.45359237,IF(tblWaste[[#This Row],[Unit]]="US ton",tblWaste[[#This Row],[Weight]]*907.18474,"")))))</f>
        <v>1540</v>
      </c>
      <c r="L162" s="38" t="str">
        <f>IF(tblWaste[[#This Row],[Date]]="","",IFERROR(INDEX(tblRoutes[Class],MATCH(tblWaste[[#This Row],[Route]],tblRoutes[Route],0)),""))</f>
        <v>Material recovery</v>
      </c>
      <c r="M162" s="38" t="str">
        <f>IF(tblWaste[[#This Row],[Date]]="","",IFERROR(INDEX(tblStreams[Hazardous],MATCH(tblWaste[[#This Row],[Stream]],tblStreams[Stream],0)),""))</f>
        <v>No</v>
      </c>
      <c r="N162" s="37">
        <f>IF(tblWaste[[#This Row],[Date]]="","",IF(OR(tblWaste[[#This Row],[Weight (kg)]]="",tblWaste[[#This Row],[Class]]=""),"",IF(OR(tblWaste[[#This Row],[Class]]="Material recovery",AND(tblWaste[[#This Row],[Class]]="Energy recovery",CountER="Yes")),tblWaste[[#This Row],[Weight (kg)]],0)))</f>
        <v>1540</v>
      </c>
      <c r="O162" s="30">
        <f>IF(tblWaste[[#This Row],[Date]]="","",N(tblWaste[[#This Row],[Charge]])-N(tblWaste[[#This Row],[Rebate]]))</f>
        <v>98.9</v>
      </c>
      <c r="P162" s="39">
        <f>IF(tblWaste[[#This Row],[Date]]="","",IF(AND(tblWaste[[#This Row],[Date]]&gt;=FFrom,tblWaste[[#This Row],[Date]]&lt;=FTo),tblWaste[[#This Row],[Date]],""))</f>
        <v>46239</v>
      </c>
      <c r="Q16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62" s="28" t="s">
        <v>86</v>
      </c>
    </row>
    <row r="163" spans="2:18">
      <c r="B163" s="35">
        <v>46239</v>
      </c>
      <c r="C163" s="28" t="s">
        <v>294</v>
      </c>
      <c r="D163" s="28" t="s">
        <v>93</v>
      </c>
      <c r="E163" s="28" t="s">
        <v>109</v>
      </c>
      <c r="F163" s="28" t="s">
        <v>140</v>
      </c>
      <c r="G163" s="36">
        <v>940</v>
      </c>
      <c r="H163" s="28" t="s">
        <v>77</v>
      </c>
      <c r="I163" s="36">
        <v>0</v>
      </c>
      <c r="J163" s="36">
        <v>136.3</v>
      </c>
      <c r="K163" s="37">
        <f>IF(tblWaste[[#This Row],[Date]]="","",IF(tblWaste[[#This Row],[Unit]]="kg",tblWaste[[#This Row],[Weight]],IF(tblWaste[[#This Row],[Unit]]="t",tblWaste[[#This Row],[Weight]]*1000,IF(tblWaste[[#This Row],[Unit]]="lb",tblWaste[[#This Row],[Weight]]*0.45359237,IF(tblWaste[[#This Row],[Unit]]="US ton",tblWaste[[#This Row],[Weight]]*907.18474,"")))))</f>
        <v>940</v>
      </c>
      <c r="L163" s="38" t="str">
        <f>IF(tblWaste[[#This Row],[Date]]="","",IFERROR(INDEX(tblRoutes[Class],MATCH(tblWaste[[#This Row],[Route]],tblRoutes[Route],0)),""))</f>
        <v>Material recovery</v>
      </c>
      <c r="M163" s="38" t="str">
        <f>IF(tblWaste[[#This Row],[Date]]="","",IFERROR(INDEX(tblStreams[Hazardous],MATCH(tblWaste[[#This Row],[Stream]],tblStreams[Stream],0)),""))</f>
        <v>No</v>
      </c>
      <c r="N163" s="37">
        <f>IF(tblWaste[[#This Row],[Date]]="","",IF(OR(tblWaste[[#This Row],[Weight (kg)]]="",tblWaste[[#This Row],[Class]]=""),"",IF(OR(tblWaste[[#This Row],[Class]]="Material recovery",AND(tblWaste[[#This Row],[Class]]="Energy recovery",CountER="Yes")),tblWaste[[#This Row],[Weight (kg)]],0)))</f>
        <v>940</v>
      </c>
      <c r="O163" s="30">
        <f>IF(tblWaste[[#This Row],[Date]]="","",N(tblWaste[[#This Row],[Charge]])-N(tblWaste[[#This Row],[Rebate]]))</f>
        <v>-136.3</v>
      </c>
      <c r="P163" s="39">
        <f>IF(tblWaste[[#This Row],[Date]]="","",IF(AND(tblWaste[[#This Row],[Date]]&gt;=FFrom,tblWaste[[#This Row],[Date]]&lt;=FTo),tblWaste[[#This Row],[Date]],""))</f>
        <v>46239</v>
      </c>
      <c r="Q16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63" s="28" t="s">
        <v>86</v>
      </c>
    </row>
    <row r="164" spans="2:18">
      <c r="B164" s="35">
        <v>46239</v>
      </c>
      <c r="C164" s="28" t="s">
        <v>295</v>
      </c>
      <c r="D164" s="28" t="s">
        <v>95</v>
      </c>
      <c r="E164" s="28" t="s">
        <v>111</v>
      </c>
      <c r="F164" s="28" t="s">
        <v>136</v>
      </c>
      <c r="G164" s="36">
        <v>280</v>
      </c>
      <c r="H164" s="28" t="s">
        <v>77</v>
      </c>
      <c r="I164" s="36">
        <v>71.59999999999999</v>
      </c>
      <c r="J164" s="36">
        <v>0</v>
      </c>
      <c r="K164" s="37">
        <f>IF(tblWaste[[#This Row],[Date]]="","",IF(tblWaste[[#This Row],[Unit]]="kg",tblWaste[[#This Row],[Weight]],IF(tblWaste[[#This Row],[Unit]]="t",tblWaste[[#This Row],[Weight]]*1000,IF(tblWaste[[#This Row],[Unit]]="lb",tblWaste[[#This Row],[Weight]]*0.45359237,IF(tblWaste[[#This Row],[Unit]]="US ton",tblWaste[[#This Row],[Weight]]*907.18474,"")))))</f>
        <v>280</v>
      </c>
      <c r="L164" s="38" t="str">
        <f>IF(tblWaste[[#This Row],[Date]]="","",IFERROR(INDEX(tblRoutes[Class],MATCH(tblWaste[[#This Row],[Route]],tblRoutes[Route],0)),""))</f>
        <v>Material recovery</v>
      </c>
      <c r="M164" s="38" t="str">
        <f>IF(tblWaste[[#This Row],[Date]]="","",IFERROR(INDEX(tblStreams[Hazardous],MATCH(tblWaste[[#This Row],[Stream]],tblStreams[Stream],0)),""))</f>
        <v>No</v>
      </c>
      <c r="N164" s="37">
        <f>IF(tblWaste[[#This Row],[Date]]="","",IF(OR(tblWaste[[#This Row],[Weight (kg)]]="",tblWaste[[#This Row],[Class]]=""),"",IF(OR(tblWaste[[#This Row],[Class]]="Material recovery",AND(tblWaste[[#This Row],[Class]]="Energy recovery",CountER="Yes")),tblWaste[[#This Row],[Weight (kg)]],0)))</f>
        <v>280</v>
      </c>
      <c r="O164" s="30">
        <f>IF(tblWaste[[#This Row],[Date]]="","",N(tblWaste[[#This Row],[Charge]])-N(tblWaste[[#This Row],[Rebate]]))</f>
        <v>71.6</v>
      </c>
      <c r="P164" s="39">
        <f>IF(tblWaste[[#This Row],[Date]]="","",IF(AND(tblWaste[[#This Row],[Date]]&gt;=FFrom,tblWaste[[#This Row],[Date]]&lt;=FTo),tblWaste[[#This Row],[Date]],""))</f>
        <v>46239</v>
      </c>
      <c r="Q16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64" s="28" t="s">
        <v>86</v>
      </c>
    </row>
    <row r="165" spans="2:18">
      <c r="B165" s="35">
        <v>46239</v>
      </c>
      <c r="C165" s="28" t="s">
        <v>296</v>
      </c>
      <c r="D165" s="28" t="s">
        <v>97</v>
      </c>
      <c r="E165" s="28" t="s">
        <v>113</v>
      </c>
      <c r="F165" s="28" t="s">
        <v>154</v>
      </c>
      <c r="G165" s="36">
        <v>1360</v>
      </c>
      <c r="H165" s="28" t="s">
        <v>77</v>
      </c>
      <c r="I165" s="36">
        <v>915.4</v>
      </c>
      <c r="J165" s="36">
        <v>0</v>
      </c>
      <c r="K165" s="37">
        <f>IF(tblWaste[[#This Row],[Date]]="","",IF(tblWaste[[#This Row],[Unit]]="kg",tblWaste[[#This Row],[Weight]],IF(tblWaste[[#This Row],[Unit]]="t",tblWaste[[#This Row],[Weight]]*1000,IF(tblWaste[[#This Row],[Unit]]="lb",tblWaste[[#This Row],[Weight]]*0.45359237,IF(tblWaste[[#This Row],[Unit]]="US ton",tblWaste[[#This Row],[Weight]]*907.18474,"")))))</f>
        <v>1360</v>
      </c>
      <c r="L165" s="38" t="str">
        <f>IF(tblWaste[[#This Row],[Date]]="","",IFERROR(INDEX(tblRoutes[Class],MATCH(tblWaste[[#This Row],[Route]],tblRoutes[Route],0)),""))</f>
        <v>Energy recovery</v>
      </c>
      <c r="M165" s="38" t="str">
        <f>IF(tblWaste[[#This Row],[Date]]="","",IFERROR(INDEX(tblStreams[Hazardous],MATCH(tblWaste[[#This Row],[Stream]],tblStreams[Stream],0)),""))</f>
        <v>Yes</v>
      </c>
      <c r="N165" s="37">
        <f>IF(tblWaste[[#This Row],[Date]]="","",IF(OR(tblWaste[[#This Row],[Weight (kg)]]="",tblWaste[[#This Row],[Class]]=""),"",IF(OR(tblWaste[[#This Row],[Class]]="Material recovery",AND(tblWaste[[#This Row],[Class]]="Energy recovery",CountER="Yes")),tblWaste[[#This Row],[Weight (kg)]],0)))</f>
        <v>1360</v>
      </c>
      <c r="O165" s="30">
        <f>IF(tblWaste[[#This Row],[Date]]="","",N(tblWaste[[#This Row],[Charge]])-N(tblWaste[[#This Row],[Rebate]]))</f>
        <v>915.4</v>
      </c>
      <c r="P165" s="39">
        <f>IF(tblWaste[[#This Row],[Date]]="","",IF(AND(tblWaste[[#This Row],[Date]]&gt;=FFrom,tblWaste[[#This Row],[Date]]&lt;=FTo),tblWaste[[#This Row],[Date]],""))</f>
        <v>46239</v>
      </c>
      <c r="Q16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65" s="28" t="s">
        <v>86</v>
      </c>
    </row>
    <row r="166" spans="2:18">
      <c r="B166" s="35">
        <v>46240</v>
      </c>
      <c r="C166" s="28" t="s">
        <v>297</v>
      </c>
      <c r="D166" s="28" t="s">
        <v>85</v>
      </c>
      <c r="E166" s="28" t="s">
        <v>109</v>
      </c>
      <c r="F166" s="28" t="s">
        <v>133</v>
      </c>
      <c r="G166" s="36">
        <v>1020</v>
      </c>
      <c r="H166" s="28" t="s">
        <v>77</v>
      </c>
      <c r="I166" s="36">
        <v>0</v>
      </c>
      <c r="J166" s="36">
        <v>20.4</v>
      </c>
      <c r="K166" s="37">
        <f>IF(tblWaste[[#This Row],[Date]]="","",IF(tblWaste[[#This Row],[Unit]]="kg",tblWaste[[#This Row],[Weight]],IF(tblWaste[[#This Row],[Unit]]="t",tblWaste[[#This Row],[Weight]]*1000,IF(tblWaste[[#This Row],[Unit]]="lb",tblWaste[[#This Row],[Weight]]*0.45359237,IF(tblWaste[[#This Row],[Unit]]="US ton",tblWaste[[#This Row],[Weight]]*907.18474,"")))))</f>
        <v>1020</v>
      </c>
      <c r="L166" s="38" t="str">
        <f>IF(tblWaste[[#This Row],[Date]]="","",IFERROR(INDEX(tblRoutes[Class],MATCH(tblWaste[[#This Row],[Route]],tblRoutes[Route],0)),""))</f>
        <v>Material recovery</v>
      </c>
      <c r="M166" s="38" t="str">
        <f>IF(tblWaste[[#This Row],[Date]]="","",IFERROR(INDEX(tblStreams[Hazardous],MATCH(tblWaste[[#This Row],[Stream]],tblStreams[Stream],0)),""))</f>
        <v>No</v>
      </c>
      <c r="N166" s="37">
        <f>IF(tblWaste[[#This Row],[Date]]="","",IF(OR(tblWaste[[#This Row],[Weight (kg)]]="",tblWaste[[#This Row],[Class]]=""),"",IF(OR(tblWaste[[#This Row],[Class]]="Material recovery",AND(tblWaste[[#This Row],[Class]]="Energy recovery",CountER="Yes")),tblWaste[[#This Row],[Weight (kg)]],0)))</f>
        <v>1020</v>
      </c>
      <c r="O166" s="30">
        <f>IF(tblWaste[[#This Row],[Date]]="","",N(tblWaste[[#This Row],[Charge]])-N(tblWaste[[#This Row],[Rebate]]))</f>
        <v>-20.4</v>
      </c>
      <c r="P166" s="39">
        <f>IF(tblWaste[[#This Row],[Date]]="","",IF(AND(tblWaste[[#This Row],[Date]]&gt;=FFrom,tblWaste[[#This Row],[Date]]&lt;=FTo),tblWaste[[#This Row],[Date]],""))</f>
        <v>46240</v>
      </c>
      <c r="Q16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66" s="28" t="s">
        <v>86</v>
      </c>
    </row>
    <row r="167" spans="2:18">
      <c r="B167" s="35">
        <v>46240</v>
      </c>
      <c r="C167" s="28" t="s">
        <v>298</v>
      </c>
      <c r="D167" s="28" t="s">
        <v>87</v>
      </c>
      <c r="E167" s="28" t="s">
        <v>109</v>
      </c>
      <c r="F167" s="28" t="s">
        <v>133</v>
      </c>
      <c r="G167" s="36">
        <v>2250</v>
      </c>
      <c r="H167" s="28" t="s">
        <v>77</v>
      </c>
      <c r="I167" s="36">
        <v>0</v>
      </c>
      <c r="J167" s="36">
        <v>90</v>
      </c>
      <c r="K167" s="37">
        <f>IF(tblWaste[[#This Row],[Date]]="","",IF(tblWaste[[#This Row],[Unit]]="kg",tblWaste[[#This Row],[Weight]],IF(tblWaste[[#This Row],[Unit]]="t",tblWaste[[#This Row],[Weight]]*1000,IF(tblWaste[[#This Row],[Unit]]="lb",tblWaste[[#This Row],[Weight]]*0.45359237,IF(tblWaste[[#This Row],[Unit]]="US ton",tblWaste[[#This Row],[Weight]]*907.18474,"")))))</f>
        <v>2250</v>
      </c>
      <c r="L167" s="38" t="str">
        <f>IF(tblWaste[[#This Row],[Date]]="","",IFERROR(INDEX(tblRoutes[Class],MATCH(tblWaste[[#This Row],[Route]],tblRoutes[Route],0)),""))</f>
        <v>Material recovery</v>
      </c>
      <c r="M167" s="38" t="str">
        <f>IF(tblWaste[[#This Row],[Date]]="","",IFERROR(INDEX(tblStreams[Hazardous],MATCH(tblWaste[[#This Row],[Stream]],tblStreams[Stream],0)),""))</f>
        <v>No</v>
      </c>
      <c r="N167" s="37">
        <f>IF(tblWaste[[#This Row],[Date]]="","",IF(OR(tblWaste[[#This Row],[Weight (kg)]]="",tblWaste[[#This Row],[Class]]=""),"",IF(OR(tblWaste[[#This Row],[Class]]="Material recovery",AND(tblWaste[[#This Row],[Class]]="Energy recovery",CountER="Yes")),tblWaste[[#This Row],[Weight (kg)]],0)))</f>
        <v>2250</v>
      </c>
      <c r="O167" s="30">
        <f>IF(tblWaste[[#This Row],[Date]]="","",N(tblWaste[[#This Row],[Charge]])-N(tblWaste[[#This Row],[Rebate]]))</f>
        <v>-90</v>
      </c>
      <c r="P167" s="39">
        <f>IF(tblWaste[[#This Row],[Date]]="","",IF(AND(tblWaste[[#This Row],[Date]]&gt;=FFrom,tblWaste[[#This Row],[Date]]&lt;=FTo),tblWaste[[#This Row],[Date]],""))</f>
        <v>46240</v>
      </c>
      <c r="Q16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67" s="28" t="s">
        <v>86</v>
      </c>
    </row>
    <row r="168" spans="2:18">
      <c r="B168" s="35">
        <v>46244</v>
      </c>
      <c r="C168" s="28" t="s">
        <v>299</v>
      </c>
      <c r="D168" s="28" t="s">
        <v>81</v>
      </c>
      <c r="E168" s="28" t="s">
        <v>109</v>
      </c>
      <c r="F168" s="28" t="s">
        <v>133</v>
      </c>
      <c r="G168" s="36">
        <v>5.7</v>
      </c>
      <c r="H168" s="28" t="s">
        <v>75</v>
      </c>
      <c r="I168" s="36">
        <v>0</v>
      </c>
      <c r="J168" s="36">
        <v>353.4</v>
      </c>
      <c r="K168" s="37">
        <f>IF(tblWaste[[#This Row],[Date]]="","",IF(tblWaste[[#This Row],[Unit]]="kg",tblWaste[[#This Row],[Weight]],IF(tblWaste[[#This Row],[Unit]]="t",tblWaste[[#This Row],[Weight]]*1000,IF(tblWaste[[#This Row],[Unit]]="lb",tblWaste[[#This Row],[Weight]]*0.45359237,IF(tblWaste[[#This Row],[Unit]]="US ton",tblWaste[[#This Row],[Weight]]*907.18474,"")))))</f>
        <v>5700</v>
      </c>
      <c r="L168" s="38" t="str">
        <f>IF(tblWaste[[#This Row],[Date]]="","",IFERROR(INDEX(tblRoutes[Class],MATCH(tblWaste[[#This Row],[Route]],tblRoutes[Route],0)),""))</f>
        <v>Material recovery</v>
      </c>
      <c r="M168" s="38" t="str">
        <f>IF(tblWaste[[#This Row],[Date]]="","",IFERROR(INDEX(tblStreams[Hazardous],MATCH(tblWaste[[#This Row],[Stream]],tblStreams[Stream],0)),""))</f>
        <v>No</v>
      </c>
      <c r="N168" s="37">
        <f>IF(tblWaste[[#This Row],[Date]]="","",IF(OR(tblWaste[[#This Row],[Weight (kg)]]="",tblWaste[[#This Row],[Class]]=""),"",IF(OR(tblWaste[[#This Row],[Class]]="Material recovery",AND(tblWaste[[#This Row],[Class]]="Energy recovery",CountER="Yes")),tblWaste[[#This Row],[Weight (kg)]],0)))</f>
        <v>5700</v>
      </c>
      <c r="O168" s="30">
        <f>IF(tblWaste[[#This Row],[Date]]="","",N(tblWaste[[#This Row],[Charge]])-N(tblWaste[[#This Row],[Rebate]]))</f>
        <v>-353.4</v>
      </c>
      <c r="P168" s="39">
        <f>IF(tblWaste[[#This Row],[Date]]="","",IF(AND(tblWaste[[#This Row],[Date]]&gt;=FFrom,tblWaste[[#This Row],[Date]]&lt;=FTo),tblWaste[[#This Row],[Date]],""))</f>
        <v>46244</v>
      </c>
      <c r="Q16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68" s="28" t="s">
        <v>86</v>
      </c>
    </row>
    <row r="169" spans="2:18">
      <c r="B169" s="35">
        <v>46246</v>
      </c>
      <c r="C169" s="28" t="s">
        <v>300</v>
      </c>
      <c r="D169" s="28" t="s">
        <v>95</v>
      </c>
      <c r="E169" s="28" t="s">
        <v>111</v>
      </c>
      <c r="F169" s="28" t="s">
        <v>136</v>
      </c>
      <c r="G169" s="36">
        <v>270</v>
      </c>
      <c r="H169" s="28" t="s">
        <v>77</v>
      </c>
      <c r="I169" s="36">
        <v>70.65000000000001</v>
      </c>
      <c r="J169" s="36">
        <v>0</v>
      </c>
      <c r="K169" s="37">
        <f>IF(tblWaste[[#This Row],[Date]]="","",IF(tblWaste[[#This Row],[Unit]]="kg",tblWaste[[#This Row],[Weight]],IF(tblWaste[[#This Row],[Unit]]="t",tblWaste[[#This Row],[Weight]]*1000,IF(tblWaste[[#This Row],[Unit]]="lb",tblWaste[[#This Row],[Weight]]*0.45359237,IF(tblWaste[[#This Row],[Unit]]="US ton",tblWaste[[#This Row],[Weight]]*907.18474,"")))))</f>
        <v>270</v>
      </c>
      <c r="L169" s="38" t="str">
        <f>IF(tblWaste[[#This Row],[Date]]="","",IFERROR(INDEX(tblRoutes[Class],MATCH(tblWaste[[#This Row],[Route]],tblRoutes[Route],0)),""))</f>
        <v>Material recovery</v>
      </c>
      <c r="M169" s="38" t="str">
        <f>IF(tblWaste[[#This Row],[Date]]="","",IFERROR(INDEX(tblStreams[Hazardous],MATCH(tblWaste[[#This Row],[Stream]],tblStreams[Stream],0)),""))</f>
        <v>No</v>
      </c>
      <c r="N169" s="37">
        <f>IF(tblWaste[[#This Row],[Date]]="","",IF(OR(tblWaste[[#This Row],[Weight (kg)]]="",tblWaste[[#This Row],[Class]]=""),"",IF(OR(tblWaste[[#This Row],[Class]]="Material recovery",AND(tblWaste[[#This Row],[Class]]="Energy recovery",CountER="Yes")),tblWaste[[#This Row],[Weight (kg)]],0)))</f>
        <v>270</v>
      </c>
      <c r="O169" s="30">
        <f>IF(tblWaste[[#This Row],[Date]]="","",N(tblWaste[[#This Row],[Charge]])-N(tblWaste[[#This Row],[Rebate]]))</f>
        <v>70.65</v>
      </c>
      <c r="P169" s="39">
        <f>IF(tblWaste[[#This Row],[Date]]="","",IF(AND(tblWaste[[#This Row],[Date]]&gt;=FFrom,tblWaste[[#This Row],[Date]]&lt;=FTo),tblWaste[[#This Row],[Date]],""))</f>
        <v>46246</v>
      </c>
      <c r="Q16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69" s="28" t="s">
        <v>86</v>
      </c>
    </row>
    <row r="170" spans="2:18">
      <c r="B170" s="35">
        <v>46246</v>
      </c>
      <c r="C170" s="28" t="s">
        <v>301</v>
      </c>
      <c r="D170" s="28" t="s">
        <v>100</v>
      </c>
      <c r="E170" s="28" t="s">
        <v>118</v>
      </c>
      <c r="F170" s="28" t="s">
        <v>136</v>
      </c>
      <c r="G170" s="36">
        <v>1840</v>
      </c>
      <c r="H170" s="28" t="s">
        <v>77</v>
      </c>
      <c r="I170" s="36">
        <v>262.12</v>
      </c>
      <c r="J170" s="36">
        <v>0</v>
      </c>
      <c r="K170" s="37">
        <f>IF(tblWaste[[#This Row],[Date]]="","",IF(tblWaste[[#This Row],[Unit]]="kg",tblWaste[[#This Row],[Weight]],IF(tblWaste[[#This Row],[Unit]]="t",tblWaste[[#This Row],[Weight]]*1000,IF(tblWaste[[#This Row],[Unit]]="lb",tblWaste[[#This Row],[Weight]]*0.45359237,IF(tblWaste[[#This Row],[Unit]]="US ton",tblWaste[[#This Row],[Weight]]*907.18474,"")))))</f>
        <v>1840</v>
      </c>
      <c r="L170" s="38" t="str">
        <f>IF(tblWaste[[#This Row],[Date]]="","",IFERROR(INDEX(tblRoutes[Class],MATCH(tblWaste[[#This Row],[Route]],tblRoutes[Route],0)),""))</f>
        <v>Disposal</v>
      </c>
      <c r="M170" s="38" t="str">
        <f>IF(tblWaste[[#This Row],[Date]]="","",IFERROR(INDEX(tblStreams[Hazardous],MATCH(tblWaste[[#This Row],[Stream]],tblStreams[Stream],0)),""))</f>
        <v>No</v>
      </c>
      <c r="N170" s="37">
        <f>IF(tblWaste[[#This Row],[Date]]="","",IF(OR(tblWaste[[#This Row],[Weight (kg)]]="",tblWaste[[#This Row],[Class]]=""),"",IF(OR(tblWaste[[#This Row],[Class]]="Material recovery",AND(tblWaste[[#This Row],[Class]]="Energy recovery",CountER="Yes")),tblWaste[[#This Row],[Weight (kg)]],0)))</f>
        <v>0</v>
      </c>
      <c r="O170" s="30">
        <f>IF(tblWaste[[#This Row],[Date]]="","",N(tblWaste[[#This Row],[Charge]])-N(tblWaste[[#This Row],[Rebate]]))</f>
        <v>262.12</v>
      </c>
      <c r="P170" s="39">
        <f>IF(tblWaste[[#This Row],[Date]]="","",IF(AND(tblWaste[[#This Row],[Date]]&gt;=FFrom,tblWaste[[#This Row],[Date]]&lt;=FTo),tblWaste[[#This Row],[Date]],""))</f>
        <v>46246</v>
      </c>
      <c r="Q17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70" s="28" t="s">
        <v>86</v>
      </c>
    </row>
    <row r="171" spans="2:18">
      <c r="B171" s="35">
        <v>46247</v>
      </c>
      <c r="C171" s="28" t="s">
        <v>302</v>
      </c>
      <c r="D171" s="28" t="s">
        <v>87</v>
      </c>
      <c r="E171" s="28" t="s">
        <v>109</v>
      </c>
      <c r="F171" s="28" t="s">
        <v>133</v>
      </c>
      <c r="G171" s="36">
        <v>2430</v>
      </c>
      <c r="H171" s="28" t="s">
        <v>77</v>
      </c>
      <c r="I171" s="36">
        <v>0</v>
      </c>
      <c r="J171" s="36">
        <v>97.2</v>
      </c>
      <c r="K171" s="37">
        <f>IF(tblWaste[[#This Row],[Date]]="","",IF(tblWaste[[#This Row],[Unit]]="kg",tblWaste[[#This Row],[Weight]],IF(tblWaste[[#This Row],[Unit]]="t",tblWaste[[#This Row],[Weight]]*1000,IF(tblWaste[[#This Row],[Unit]]="lb",tblWaste[[#This Row],[Weight]]*0.45359237,IF(tblWaste[[#This Row],[Unit]]="US ton",tblWaste[[#This Row],[Weight]]*907.18474,"")))))</f>
        <v>2430</v>
      </c>
      <c r="L171" s="38" t="str">
        <f>IF(tblWaste[[#This Row],[Date]]="","",IFERROR(INDEX(tblRoutes[Class],MATCH(tblWaste[[#This Row],[Route]],tblRoutes[Route],0)),""))</f>
        <v>Material recovery</v>
      </c>
      <c r="M171" s="38" t="str">
        <f>IF(tblWaste[[#This Row],[Date]]="","",IFERROR(INDEX(tblStreams[Hazardous],MATCH(tblWaste[[#This Row],[Stream]],tblStreams[Stream],0)),""))</f>
        <v>No</v>
      </c>
      <c r="N171" s="37">
        <f>IF(tblWaste[[#This Row],[Date]]="","",IF(OR(tblWaste[[#This Row],[Weight (kg)]]="",tblWaste[[#This Row],[Class]]=""),"",IF(OR(tblWaste[[#This Row],[Class]]="Material recovery",AND(tblWaste[[#This Row],[Class]]="Energy recovery",CountER="Yes")),tblWaste[[#This Row],[Weight (kg)]],0)))</f>
        <v>2430</v>
      </c>
      <c r="O171" s="30">
        <f>IF(tblWaste[[#This Row],[Date]]="","",N(tblWaste[[#This Row],[Charge]])-N(tblWaste[[#This Row],[Rebate]]))</f>
        <v>-97.2</v>
      </c>
      <c r="P171" s="39">
        <f>IF(tblWaste[[#This Row],[Date]]="","",IF(AND(tblWaste[[#This Row],[Date]]&gt;=FFrom,tblWaste[[#This Row],[Date]]&lt;=FTo),tblWaste[[#This Row],[Date]],""))</f>
        <v>46247</v>
      </c>
      <c r="Q17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71" s="28" t="s">
        <v>86</v>
      </c>
    </row>
    <row r="172" spans="2:18">
      <c r="B172" s="35">
        <v>46251</v>
      </c>
      <c r="C172" s="28" t="s">
        <v>303</v>
      </c>
      <c r="D172" s="28" t="s">
        <v>81</v>
      </c>
      <c r="E172" s="28" t="s">
        <v>109</v>
      </c>
      <c r="F172" s="28" t="s">
        <v>133</v>
      </c>
      <c r="G172" s="36">
        <v>5.66</v>
      </c>
      <c r="H172" s="28" t="s">
        <v>75</v>
      </c>
      <c r="I172" s="36">
        <v>0</v>
      </c>
      <c r="J172" s="36">
        <v>350.92</v>
      </c>
      <c r="K172" s="37">
        <f>IF(tblWaste[[#This Row],[Date]]="","",IF(tblWaste[[#This Row],[Unit]]="kg",tblWaste[[#This Row],[Weight]],IF(tblWaste[[#This Row],[Unit]]="t",tblWaste[[#This Row],[Weight]]*1000,IF(tblWaste[[#This Row],[Unit]]="lb",tblWaste[[#This Row],[Weight]]*0.45359237,IF(tblWaste[[#This Row],[Unit]]="US ton",tblWaste[[#This Row],[Weight]]*907.18474,"")))))</f>
        <v>5660</v>
      </c>
      <c r="L172" s="38" t="str">
        <f>IF(tblWaste[[#This Row],[Date]]="","",IFERROR(INDEX(tblRoutes[Class],MATCH(tblWaste[[#This Row],[Route]],tblRoutes[Route],0)),""))</f>
        <v>Material recovery</v>
      </c>
      <c r="M172" s="38" t="str">
        <f>IF(tblWaste[[#This Row],[Date]]="","",IFERROR(INDEX(tblStreams[Hazardous],MATCH(tblWaste[[#This Row],[Stream]],tblStreams[Stream],0)),""))</f>
        <v>No</v>
      </c>
      <c r="N172" s="37">
        <f>IF(tblWaste[[#This Row],[Date]]="","",IF(OR(tblWaste[[#This Row],[Weight (kg)]]="",tblWaste[[#This Row],[Class]]=""),"",IF(OR(tblWaste[[#This Row],[Class]]="Material recovery",AND(tblWaste[[#This Row],[Class]]="Energy recovery",CountER="Yes")),tblWaste[[#This Row],[Weight (kg)]],0)))</f>
        <v>5660</v>
      </c>
      <c r="O172" s="30">
        <f>IF(tblWaste[[#This Row],[Date]]="","",N(tblWaste[[#This Row],[Charge]])-N(tblWaste[[#This Row],[Rebate]]))</f>
        <v>-350.92</v>
      </c>
      <c r="P172" s="39">
        <f>IF(tblWaste[[#This Row],[Date]]="","",IF(AND(tblWaste[[#This Row],[Date]]&gt;=FFrom,tblWaste[[#This Row],[Date]]&lt;=FTo),tblWaste[[#This Row],[Date]],""))</f>
        <v>46251</v>
      </c>
      <c r="Q17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72" s="28" t="s">
        <v>86</v>
      </c>
    </row>
    <row r="173" spans="2:18">
      <c r="B173" s="35">
        <v>46252</v>
      </c>
      <c r="C173" s="28" t="s">
        <v>304</v>
      </c>
      <c r="D173" s="28" t="s">
        <v>100</v>
      </c>
      <c r="E173" s="28" t="s">
        <v>118</v>
      </c>
      <c r="F173" s="28" t="s">
        <v>136</v>
      </c>
      <c r="G173" s="36">
        <v>1800</v>
      </c>
      <c r="H173" s="28" t="s">
        <v>77</v>
      </c>
      <c r="I173" s="36">
        <v>257.4</v>
      </c>
      <c r="J173" s="36">
        <v>0</v>
      </c>
      <c r="K173" s="37">
        <f>IF(tblWaste[[#This Row],[Date]]="","",IF(tblWaste[[#This Row],[Unit]]="kg",tblWaste[[#This Row],[Weight]],IF(tblWaste[[#This Row],[Unit]]="t",tblWaste[[#This Row],[Weight]]*1000,IF(tblWaste[[#This Row],[Unit]]="lb",tblWaste[[#This Row],[Weight]]*0.45359237,IF(tblWaste[[#This Row],[Unit]]="US ton",tblWaste[[#This Row],[Weight]]*907.18474,"")))))</f>
        <v>1800</v>
      </c>
      <c r="L173" s="38" t="str">
        <f>IF(tblWaste[[#This Row],[Date]]="","",IFERROR(INDEX(tblRoutes[Class],MATCH(tblWaste[[#This Row],[Route]],tblRoutes[Route],0)),""))</f>
        <v>Disposal</v>
      </c>
      <c r="M173" s="38" t="str">
        <f>IF(tblWaste[[#This Row],[Date]]="","",IFERROR(INDEX(tblStreams[Hazardous],MATCH(tblWaste[[#This Row],[Stream]],tblStreams[Stream],0)),""))</f>
        <v>No</v>
      </c>
      <c r="N173" s="37">
        <f>IF(tblWaste[[#This Row],[Date]]="","",IF(OR(tblWaste[[#This Row],[Weight (kg)]]="",tblWaste[[#This Row],[Class]]=""),"",IF(OR(tblWaste[[#This Row],[Class]]="Material recovery",AND(tblWaste[[#This Row],[Class]]="Energy recovery",CountER="Yes")),tblWaste[[#This Row],[Weight (kg)]],0)))</f>
        <v>0</v>
      </c>
      <c r="O173" s="30">
        <f>IF(tblWaste[[#This Row],[Date]]="","",N(tblWaste[[#This Row],[Charge]])-N(tblWaste[[#This Row],[Rebate]]))</f>
        <v>257.4</v>
      </c>
      <c r="P173" s="39">
        <f>IF(tblWaste[[#This Row],[Date]]="","",IF(AND(tblWaste[[#This Row],[Date]]&gt;=FFrom,tblWaste[[#This Row],[Date]]&lt;=FTo),tblWaste[[#This Row],[Date]],""))</f>
        <v>46252</v>
      </c>
      <c r="Q17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73" s="28" t="s">
        <v>86</v>
      </c>
    </row>
    <row r="174" spans="2:18">
      <c r="B174" s="35">
        <v>46259</v>
      </c>
      <c r="C174" s="28" t="s">
        <v>305</v>
      </c>
      <c r="D174" s="28" t="s">
        <v>100</v>
      </c>
      <c r="E174" s="28" t="s">
        <v>118</v>
      </c>
      <c r="F174" s="28" t="s">
        <v>136</v>
      </c>
      <c r="G174" s="36">
        <v>1690</v>
      </c>
      <c r="H174" s="28" t="s">
        <v>77</v>
      </c>
      <c r="I174" s="36">
        <v>244.42</v>
      </c>
      <c r="J174" s="36">
        <v>0</v>
      </c>
      <c r="K174" s="37">
        <f>IF(tblWaste[[#This Row],[Date]]="","",IF(tblWaste[[#This Row],[Unit]]="kg",tblWaste[[#This Row],[Weight]],IF(tblWaste[[#This Row],[Unit]]="t",tblWaste[[#This Row],[Weight]]*1000,IF(tblWaste[[#This Row],[Unit]]="lb",tblWaste[[#This Row],[Weight]]*0.45359237,IF(tblWaste[[#This Row],[Unit]]="US ton",tblWaste[[#This Row],[Weight]]*907.18474,"")))))</f>
        <v>1690</v>
      </c>
      <c r="L174" s="38" t="str">
        <f>IF(tblWaste[[#This Row],[Date]]="","",IFERROR(INDEX(tblRoutes[Class],MATCH(tblWaste[[#This Row],[Route]],tblRoutes[Route],0)),""))</f>
        <v>Disposal</v>
      </c>
      <c r="M174" s="38" t="str">
        <f>IF(tblWaste[[#This Row],[Date]]="","",IFERROR(INDEX(tblStreams[Hazardous],MATCH(tblWaste[[#This Row],[Stream]],tblStreams[Stream],0)),""))</f>
        <v>No</v>
      </c>
      <c r="N174" s="37">
        <f>IF(tblWaste[[#This Row],[Date]]="","",IF(OR(tblWaste[[#This Row],[Weight (kg)]]="",tblWaste[[#This Row],[Class]]=""),"",IF(OR(tblWaste[[#This Row],[Class]]="Material recovery",AND(tblWaste[[#This Row],[Class]]="Energy recovery",CountER="Yes")),tblWaste[[#This Row],[Weight (kg)]],0)))</f>
        <v>0</v>
      </c>
      <c r="O174" s="30">
        <f>IF(tblWaste[[#This Row],[Date]]="","",N(tblWaste[[#This Row],[Charge]])-N(tblWaste[[#This Row],[Rebate]]))</f>
        <v>244.42</v>
      </c>
      <c r="P174" s="39">
        <f>IF(tblWaste[[#This Row],[Date]]="","",IF(AND(tblWaste[[#This Row],[Date]]&gt;=FFrom,tblWaste[[#This Row],[Date]]&lt;=FTo),tblWaste[[#This Row],[Date]],""))</f>
        <v>46259</v>
      </c>
      <c r="Q17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74" s="28" t="s">
        <v>86</v>
      </c>
    </row>
    <row r="175" spans="2:18">
      <c r="B175" s="35">
        <v>46260</v>
      </c>
      <c r="C175" s="28" t="s">
        <v>306</v>
      </c>
      <c r="D175" s="28" t="s">
        <v>81</v>
      </c>
      <c r="E175" s="28" t="s">
        <v>109</v>
      </c>
      <c r="F175" s="28" t="s">
        <v>133</v>
      </c>
      <c r="G175" s="36">
        <v>5.05</v>
      </c>
      <c r="H175" s="28" t="s">
        <v>75</v>
      </c>
      <c r="I175" s="36">
        <v>0</v>
      </c>
      <c r="J175" s="36">
        <v>313.1</v>
      </c>
      <c r="K175" s="37">
        <f>IF(tblWaste[[#This Row],[Date]]="","",IF(tblWaste[[#This Row],[Unit]]="kg",tblWaste[[#This Row],[Weight]],IF(tblWaste[[#This Row],[Unit]]="t",tblWaste[[#This Row],[Weight]]*1000,IF(tblWaste[[#This Row],[Unit]]="lb",tblWaste[[#This Row],[Weight]]*0.45359237,IF(tblWaste[[#This Row],[Unit]]="US ton",tblWaste[[#This Row],[Weight]]*907.18474,"")))))</f>
        <v>5050</v>
      </c>
      <c r="L175" s="38" t="str">
        <f>IF(tblWaste[[#This Row],[Date]]="","",IFERROR(INDEX(tblRoutes[Class],MATCH(tblWaste[[#This Row],[Route]],tblRoutes[Route],0)),""))</f>
        <v>Material recovery</v>
      </c>
      <c r="M175" s="38" t="str">
        <f>IF(tblWaste[[#This Row],[Date]]="","",IFERROR(INDEX(tblStreams[Hazardous],MATCH(tblWaste[[#This Row],[Stream]],tblStreams[Stream],0)),""))</f>
        <v>No</v>
      </c>
      <c r="N175" s="37">
        <f>IF(tblWaste[[#This Row],[Date]]="","",IF(OR(tblWaste[[#This Row],[Weight (kg)]]="",tblWaste[[#This Row],[Class]]=""),"",IF(OR(tblWaste[[#This Row],[Class]]="Material recovery",AND(tblWaste[[#This Row],[Class]]="Energy recovery",CountER="Yes")),tblWaste[[#This Row],[Weight (kg)]],0)))</f>
        <v>5050</v>
      </c>
      <c r="O175" s="30">
        <f>IF(tblWaste[[#This Row],[Date]]="","",N(tblWaste[[#This Row],[Charge]])-N(tblWaste[[#This Row],[Rebate]]))</f>
        <v>-313.1</v>
      </c>
      <c r="P175" s="39">
        <f>IF(tblWaste[[#This Row],[Date]]="","",IF(AND(tblWaste[[#This Row],[Date]]&gt;=FFrom,tblWaste[[#This Row],[Date]]&lt;=FTo),tblWaste[[#This Row],[Date]],""))</f>
        <v>46260</v>
      </c>
      <c r="Q17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75" s="28" t="s">
        <v>86</v>
      </c>
    </row>
    <row r="176" spans="2:18">
      <c r="B176" s="35">
        <v>46268</v>
      </c>
      <c r="C176" s="28" t="s">
        <v>307</v>
      </c>
      <c r="D176" s="28" t="s">
        <v>95</v>
      </c>
      <c r="E176" s="28" t="s">
        <v>111</v>
      </c>
      <c r="F176" s="28" t="s">
        <v>136</v>
      </c>
      <c r="G176" s="36">
        <v>270</v>
      </c>
      <c r="H176" s="28" t="s">
        <v>77</v>
      </c>
      <c r="I176" s="36">
        <v>70.65000000000001</v>
      </c>
      <c r="J176" s="36">
        <v>0</v>
      </c>
      <c r="K176" s="37">
        <f>IF(tblWaste[[#This Row],[Date]]="","",IF(tblWaste[[#This Row],[Unit]]="kg",tblWaste[[#This Row],[Weight]],IF(tblWaste[[#This Row],[Unit]]="t",tblWaste[[#This Row],[Weight]]*1000,IF(tblWaste[[#This Row],[Unit]]="lb",tblWaste[[#This Row],[Weight]]*0.45359237,IF(tblWaste[[#This Row],[Unit]]="US ton",tblWaste[[#This Row],[Weight]]*907.18474,"")))))</f>
        <v>270</v>
      </c>
      <c r="L176" s="38" t="str">
        <f>IF(tblWaste[[#This Row],[Date]]="","",IFERROR(INDEX(tblRoutes[Class],MATCH(tblWaste[[#This Row],[Route]],tblRoutes[Route],0)),""))</f>
        <v>Material recovery</v>
      </c>
      <c r="M176" s="38" t="str">
        <f>IF(tblWaste[[#This Row],[Date]]="","",IFERROR(INDEX(tblStreams[Hazardous],MATCH(tblWaste[[#This Row],[Stream]],tblStreams[Stream],0)),""))</f>
        <v>No</v>
      </c>
      <c r="N176" s="37">
        <f>IF(tblWaste[[#This Row],[Date]]="","",IF(OR(tblWaste[[#This Row],[Weight (kg)]]="",tblWaste[[#This Row],[Class]]=""),"",IF(OR(tblWaste[[#This Row],[Class]]="Material recovery",AND(tblWaste[[#This Row],[Class]]="Energy recovery",CountER="Yes")),tblWaste[[#This Row],[Weight (kg)]],0)))</f>
        <v>270</v>
      </c>
      <c r="O176" s="30">
        <f>IF(tblWaste[[#This Row],[Date]]="","",N(tblWaste[[#This Row],[Charge]])-N(tblWaste[[#This Row],[Rebate]]))</f>
        <v>70.65</v>
      </c>
      <c r="P176" s="39">
        <f>IF(tblWaste[[#This Row],[Date]]="","",IF(AND(tblWaste[[#This Row],[Date]]&gt;=FFrom,tblWaste[[#This Row],[Date]]&lt;=FTo),tblWaste[[#This Row],[Date]],""))</f>
        <v>46268</v>
      </c>
      <c r="Q17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76" s="28" t="s">
        <v>86</v>
      </c>
    </row>
    <row r="177" spans="2:18">
      <c r="B177" s="35">
        <v>46268</v>
      </c>
      <c r="C177" s="28" t="s">
        <v>308</v>
      </c>
      <c r="D177" s="28" t="s">
        <v>100</v>
      </c>
      <c r="E177" s="28" t="s">
        <v>118</v>
      </c>
      <c r="F177" s="28" t="s">
        <v>136</v>
      </c>
      <c r="G177" s="36">
        <v>1870</v>
      </c>
      <c r="H177" s="28" t="s">
        <v>77</v>
      </c>
      <c r="I177" s="36">
        <v>265.66</v>
      </c>
      <c r="J177" s="36">
        <v>0</v>
      </c>
      <c r="K177" s="37">
        <f>IF(tblWaste[[#This Row],[Date]]="","",IF(tblWaste[[#This Row],[Unit]]="kg",tblWaste[[#This Row],[Weight]],IF(tblWaste[[#This Row],[Unit]]="t",tblWaste[[#This Row],[Weight]]*1000,IF(tblWaste[[#This Row],[Unit]]="lb",tblWaste[[#This Row],[Weight]]*0.45359237,IF(tblWaste[[#This Row],[Unit]]="US ton",tblWaste[[#This Row],[Weight]]*907.18474,"")))))</f>
        <v>1870</v>
      </c>
      <c r="L177" s="38" t="str">
        <f>IF(tblWaste[[#This Row],[Date]]="","",IFERROR(INDEX(tblRoutes[Class],MATCH(tblWaste[[#This Row],[Route]],tblRoutes[Route],0)),""))</f>
        <v>Disposal</v>
      </c>
      <c r="M177" s="38" t="str">
        <f>IF(tblWaste[[#This Row],[Date]]="","",IFERROR(INDEX(tblStreams[Hazardous],MATCH(tblWaste[[#This Row],[Stream]],tblStreams[Stream],0)),""))</f>
        <v>No</v>
      </c>
      <c r="N177" s="37">
        <f>IF(tblWaste[[#This Row],[Date]]="","",IF(OR(tblWaste[[#This Row],[Weight (kg)]]="",tblWaste[[#This Row],[Class]]=""),"",IF(OR(tblWaste[[#This Row],[Class]]="Material recovery",AND(tblWaste[[#This Row],[Class]]="Energy recovery",CountER="Yes")),tblWaste[[#This Row],[Weight (kg)]],0)))</f>
        <v>0</v>
      </c>
      <c r="O177" s="30">
        <f>IF(tblWaste[[#This Row],[Date]]="","",N(tblWaste[[#This Row],[Charge]])-N(tblWaste[[#This Row],[Rebate]]))</f>
        <v>265.66</v>
      </c>
      <c r="P177" s="39">
        <f>IF(tblWaste[[#This Row],[Date]]="","",IF(AND(tblWaste[[#This Row],[Date]]&gt;=FFrom,tblWaste[[#This Row],[Date]]&lt;=FTo),tblWaste[[#This Row],[Date]],""))</f>
        <v>46268</v>
      </c>
      <c r="Q17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77" s="28" t="s">
        <v>86</v>
      </c>
    </row>
    <row r="178" spans="2:18">
      <c r="B178" s="35">
        <v>46269</v>
      </c>
      <c r="C178" s="28" t="s">
        <v>309</v>
      </c>
      <c r="D178" s="28" t="s">
        <v>81</v>
      </c>
      <c r="E178" s="28" t="s">
        <v>109</v>
      </c>
      <c r="F178" s="28" t="s">
        <v>133</v>
      </c>
      <c r="G178" s="36">
        <v>4.57</v>
      </c>
      <c r="H178" s="28" t="s">
        <v>75</v>
      </c>
      <c r="I178" s="36">
        <v>0</v>
      </c>
      <c r="J178" s="36">
        <v>283.34</v>
      </c>
      <c r="K178" s="37">
        <f>IF(tblWaste[[#This Row],[Date]]="","",IF(tblWaste[[#This Row],[Unit]]="kg",tblWaste[[#This Row],[Weight]],IF(tblWaste[[#This Row],[Unit]]="t",tblWaste[[#This Row],[Weight]]*1000,IF(tblWaste[[#This Row],[Unit]]="lb",tblWaste[[#This Row],[Weight]]*0.45359237,IF(tblWaste[[#This Row],[Unit]]="US ton",tblWaste[[#This Row],[Weight]]*907.18474,"")))))</f>
        <v>4570</v>
      </c>
      <c r="L178" s="38" t="str">
        <f>IF(tblWaste[[#This Row],[Date]]="","",IFERROR(INDEX(tblRoutes[Class],MATCH(tblWaste[[#This Row],[Route]],tblRoutes[Route],0)),""))</f>
        <v>Material recovery</v>
      </c>
      <c r="M178" s="38" t="str">
        <f>IF(tblWaste[[#This Row],[Date]]="","",IFERROR(INDEX(tblStreams[Hazardous],MATCH(tblWaste[[#This Row],[Stream]],tblStreams[Stream],0)),""))</f>
        <v>No</v>
      </c>
      <c r="N178" s="37">
        <f>IF(tblWaste[[#This Row],[Date]]="","",IF(OR(tblWaste[[#This Row],[Weight (kg)]]="",tblWaste[[#This Row],[Class]]=""),"",IF(OR(tblWaste[[#This Row],[Class]]="Material recovery",AND(tblWaste[[#This Row],[Class]]="Energy recovery",CountER="Yes")),tblWaste[[#This Row],[Weight (kg)]],0)))</f>
        <v>4570</v>
      </c>
      <c r="O178" s="30">
        <f>IF(tblWaste[[#This Row],[Date]]="","",N(tblWaste[[#This Row],[Charge]])-N(tblWaste[[#This Row],[Rebate]]))</f>
        <v>-283.34</v>
      </c>
      <c r="P178" s="39">
        <f>IF(tblWaste[[#This Row],[Date]]="","",IF(AND(tblWaste[[#This Row],[Date]]&gt;=FFrom,tblWaste[[#This Row],[Date]]&lt;=FTo),tblWaste[[#This Row],[Date]],""))</f>
        <v>46269</v>
      </c>
      <c r="Q17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78" s="28" t="s">
        <v>86</v>
      </c>
    </row>
    <row r="179" spans="2:18">
      <c r="B179" s="35">
        <v>46270</v>
      </c>
      <c r="C179" s="28" t="s">
        <v>310</v>
      </c>
      <c r="D179" s="28" t="s">
        <v>85</v>
      </c>
      <c r="E179" s="28" t="s">
        <v>109</v>
      </c>
      <c r="F179" s="28" t="s">
        <v>133</v>
      </c>
      <c r="G179" s="36">
        <v>890</v>
      </c>
      <c r="H179" s="28" t="s">
        <v>77</v>
      </c>
      <c r="I179" s="36">
        <v>0</v>
      </c>
      <c r="J179" s="36">
        <v>17.8</v>
      </c>
      <c r="K179" s="37">
        <f>IF(tblWaste[[#This Row],[Date]]="","",IF(tblWaste[[#This Row],[Unit]]="kg",tblWaste[[#This Row],[Weight]],IF(tblWaste[[#This Row],[Unit]]="t",tblWaste[[#This Row],[Weight]]*1000,IF(tblWaste[[#This Row],[Unit]]="lb",tblWaste[[#This Row],[Weight]]*0.45359237,IF(tblWaste[[#This Row],[Unit]]="US ton",tblWaste[[#This Row],[Weight]]*907.18474,"")))))</f>
        <v>890</v>
      </c>
      <c r="L179" s="38" t="str">
        <f>IF(tblWaste[[#This Row],[Date]]="","",IFERROR(INDEX(tblRoutes[Class],MATCH(tblWaste[[#This Row],[Route]],tblRoutes[Route],0)),""))</f>
        <v>Material recovery</v>
      </c>
      <c r="M179" s="38" t="str">
        <f>IF(tblWaste[[#This Row],[Date]]="","",IFERROR(INDEX(tblStreams[Hazardous],MATCH(tblWaste[[#This Row],[Stream]],tblStreams[Stream],0)),""))</f>
        <v>No</v>
      </c>
      <c r="N179" s="37">
        <f>IF(tblWaste[[#This Row],[Date]]="","",IF(OR(tblWaste[[#This Row],[Weight (kg)]]="",tblWaste[[#This Row],[Class]]=""),"",IF(OR(tblWaste[[#This Row],[Class]]="Material recovery",AND(tblWaste[[#This Row],[Class]]="Energy recovery",CountER="Yes")),tblWaste[[#This Row],[Weight (kg)]],0)))</f>
        <v>890</v>
      </c>
      <c r="O179" s="30">
        <f>IF(tblWaste[[#This Row],[Date]]="","",N(tblWaste[[#This Row],[Charge]])-N(tblWaste[[#This Row],[Rebate]]))</f>
        <v>-17.8</v>
      </c>
      <c r="P179" s="39">
        <f>IF(tblWaste[[#This Row],[Date]]="","",IF(AND(tblWaste[[#This Row],[Date]]&gt;=FFrom,tblWaste[[#This Row],[Date]]&lt;=FTo),tblWaste[[#This Row],[Date]],""))</f>
        <v>46270</v>
      </c>
      <c r="Q17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79" s="28" t="s">
        <v>86</v>
      </c>
    </row>
    <row r="180" spans="2:18">
      <c r="B180" s="35">
        <v>46270</v>
      </c>
      <c r="C180" s="28" t="s">
        <v>311</v>
      </c>
      <c r="D180" s="28" t="s">
        <v>87</v>
      </c>
      <c r="E180" s="28" t="s">
        <v>109</v>
      </c>
      <c r="F180" s="28" t="s">
        <v>133</v>
      </c>
      <c r="G180" s="36">
        <v>2420</v>
      </c>
      <c r="H180" s="28" t="s">
        <v>77</v>
      </c>
      <c r="I180" s="36">
        <v>0</v>
      </c>
      <c r="J180" s="36">
        <v>96.8</v>
      </c>
      <c r="K180" s="37">
        <f>IF(tblWaste[[#This Row],[Date]]="","",IF(tblWaste[[#This Row],[Unit]]="kg",tblWaste[[#This Row],[Weight]],IF(tblWaste[[#This Row],[Unit]]="t",tblWaste[[#This Row],[Weight]]*1000,IF(tblWaste[[#This Row],[Unit]]="lb",tblWaste[[#This Row],[Weight]]*0.45359237,IF(tblWaste[[#This Row],[Unit]]="US ton",tblWaste[[#This Row],[Weight]]*907.18474,"")))))</f>
        <v>2420</v>
      </c>
      <c r="L180" s="38" t="str">
        <f>IF(tblWaste[[#This Row],[Date]]="","",IFERROR(INDEX(tblRoutes[Class],MATCH(tblWaste[[#This Row],[Route]],tblRoutes[Route],0)),""))</f>
        <v>Material recovery</v>
      </c>
      <c r="M180" s="38" t="str">
        <f>IF(tblWaste[[#This Row],[Date]]="","",IFERROR(INDEX(tblStreams[Hazardous],MATCH(tblWaste[[#This Row],[Stream]],tblStreams[Stream],0)),""))</f>
        <v>No</v>
      </c>
      <c r="N180" s="37">
        <f>IF(tblWaste[[#This Row],[Date]]="","",IF(OR(tblWaste[[#This Row],[Weight (kg)]]="",tblWaste[[#This Row],[Class]]=""),"",IF(OR(tblWaste[[#This Row],[Class]]="Material recovery",AND(tblWaste[[#This Row],[Class]]="Energy recovery",CountER="Yes")),tblWaste[[#This Row],[Weight (kg)]],0)))</f>
        <v>2420</v>
      </c>
      <c r="O180" s="30">
        <f>IF(tblWaste[[#This Row],[Date]]="","",N(tblWaste[[#This Row],[Charge]])-N(tblWaste[[#This Row],[Rebate]]))</f>
        <v>-96.8</v>
      </c>
      <c r="P180" s="39">
        <f>IF(tblWaste[[#This Row],[Date]]="","",IF(AND(tblWaste[[#This Row],[Date]]&gt;=FFrom,tblWaste[[#This Row],[Date]]&lt;=FTo),tblWaste[[#This Row],[Date]],""))</f>
        <v>46270</v>
      </c>
      <c r="Q18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80" s="28" t="s">
        <v>86</v>
      </c>
    </row>
    <row r="181" spans="2:18">
      <c r="B181" s="35">
        <v>46270</v>
      </c>
      <c r="C181" s="28" t="s">
        <v>312</v>
      </c>
      <c r="D181" s="28" t="s">
        <v>90</v>
      </c>
      <c r="E181" s="28" t="s">
        <v>106</v>
      </c>
      <c r="F181" s="28" t="s">
        <v>138</v>
      </c>
      <c r="G181" s="36">
        <v>2040</v>
      </c>
      <c r="H181" s="28" t="s">
        <v>77</v>
      </c>
      <c r="I181" s="36">
        <v>116.4</v>
      </c>
      <c r="J181" s="36">
        <v>0</v>
      </c>
      <c r="K181" s="37">
        <f>IF(tblWaste[[#This Row],[Date]]="","",IF(tblWaste[[#This Row],[Unit]]="kg",tblWaste[[#This Row],[Weight]],IF(tblWaste[[#This Row],[Unit]]="t",tblWaste[[#This Row],[Weight]]*1000,IF(tblWaste[[#This Row],[Unit]]="lb",tblWaste[[#This Row],[Weight]]*0.45359237,IF(tblWaste[[#This Row],[Unit]]="US ton",tblWaste[[#This Row],[Weight]]*907.18474,"")))))</f>
        <v>2040</v>
      </c>
      <c r="L181" s="38" t="str">
        <f>IF(tblWaste[[#This Row],[Date]]="","",IFERROR(INDEX(tblRoutes[Class],MATCH(tblWaste[[#This Row],[Route]],tblRoutes[Route],0)),""))</f>
        <v>Material recovery</v>
      </c>
      <c r="M181" s="38" t="str">
        <f>IF(tblWaste[[#This Row],[Date]]="","",IFERROR(INDEX(tblStreams[Hazardous],MATCH(tblWaste[[#This Row],[Stream]],tblStreams[Stream],0)),""))</f>
        <v>No</v>
      </c>
      <c r="N181" s="37">
        <f>IF(tblWaste[[#This Row],[Date]]="","",IF(OR(tblWaste[[#This Row],[Weight (kg)]]="",tblWaste[[#This Row],[Class]]=""),"",IF(OR(tblWaste[[#This Row],[Class]]="Material recovery",AND(tblWaste[[#This Row],[Class]]="Energy recovery",CountER="Yes")),tblWaste[[#This Row],[Weight (kg)]],0)))</f>
        <v>2040</v>
      </c>
      <c r="O181" s="30">
        <f>IF(tblWaste[[#This Row],[Date]]="","",N(tblWaste[[#This Row],[Charge]])-N(tblWaste[[#This Row],[Rebate]]))</f>
        <v>116.4</v>
      </c>
      <c r="P181" s="39">
        <f>IF(tblWaste[[#This Row],[Date]]="","",IF(AND(tblWaste[[#This Row],[Date]]&gt;=FFrom,tblWaste[[#This Row],[Date]]&lt;=FTo),tblWaste[[#This Row],[Date]],""))</f>
        <v>46270</v>
      </c>
      <c r="Q181"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81" s="28" t="s">
        <v>86</v>
      </c>
    </row>
    <row r="182" spans="2:18">
      <c r="B182" s="35">
        <v>46270</v>
      </c>
      <c r="C182" s="28" t="s">
        <v>313</v>
      </c>
      <c r="D182" s="28" t="s">
        <v>93</v>
      </c>
      <c r="E182" s="28" t="s">
        <v>109</v>
      </c>
      <c r="F182" s="28" t="s">
        <v>140</v>
      </c>
      <c r="G182" s="36">
        <v>1010</v>
      </c>
      <c r="H182" s="28" t="s">
        <v>77</v>
      </c>
      <c r="I182" s="36">
        <v>0</v>
      </c>
      <c r="J182" s="36">
        <v>146.45</v>
      </c>
      <c r="K182" s="37">
        <f>IF(tblWaste[[#This Row],[Date]]="","",IF(tblWaste[[#This Row],[Unit]]="kg",tblWaste[[#This Row],[Weight]],IF(tblWaste[[#This Row],[Unit]]="t",tblWaste[[#This Row],[Weight]]*1000,IF(tblWaste[[#This Row],[Unit]]="lb",tblWaste[[#This Row],[Weight]]*0.45359237,IF(tblWaste[[#This Row],[Unit]]="US ton",tblWaste[[#This Row],[Weight]]*907.18474,"")))))</f>
        <v>1010</v>
      </c>
      <c r="L182" s="38" t="str">
        <f>IF(tblWaste[[#This Row],[Date]]="","",IFERROR(INDEX(tblRoutes[Class],MATCH(tblWaste[[#This Row],[Route]],tblRoutes[Route],0)),""))</f>
        <v>Material recovery</v>
      </c>
      <c r="M182" s="38" t="str">
        <f>IF(tblWaste[[#This Row],[Date]]="","",IFERROR(INDEX(tblStreams[Hazardous],MATCH(tblWaste[[#This Row],[Stream]],tblStreams[Stream],0)),""))</f>
        <v>No</v>
      </c>
      <c r="N182" s="37">
        <f>IF(tblWaste[[#This Row],[Date]]="","",IF(OR(tblWaste[[#This Row],[Weight (kg)]]="",tblWaste[[#This Row],[Class]]=""),"",IF(OR(tblWaste[[#This Row],[Class]]="Material recovery",AND(tblWaste[[#This Row],[Class]]="Energy recovery",CountER="Yes")),tblWaste[[#This Row],[Weight (kg)]],0)))</f>
        <v>1010</v>
      </c>
      <c r="O182" s="30">
        <f>IF(tblWaste[[#This Row],[Date]]="","",N(tblWaste[[#This Row],[Charge]])-N(tblWaste[[#This Row],[Rebate]]))</f>
        <v>-146.45</v>
      </c>
      <c r="P182" s="39">
        <f>IF(tblWaste[[#This Row],[Date]]="","",IF(AND(tblWaste[[#This Row],[Date]]&gt;=FFrom,tblWaste[[#This Row],[Date]]&lt;=FTo),tblWaste[[#This Row],[Date]],""))</f>
        <v>46270</v>
      </c>
      <c r="Q182"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82" s="28" t="s">
        <v>86</v>
      </c>
    </row>
    <row r="183" spans="2:18">
      <c r="B183" s="35">
        <v>46275</v>
      </c>
      <c r="C183" s="28" t="s">
        <v>314</v>
      </c>
      <c r="D183" s="28" t="s">
        <v>81</v>
      </c>
      <c r="E183" s="28" t="s">
        <v>109</v>
      </c>
      <c r="F183" s="28" t="s">
        <v>133</v>
      </c>
      <c r="G183" s="36">
        <v>5.75</v>
      </c>
      <c r="H183" s="28" t="s">
        <v>75</v>
      </c>
      <c r="I183" s="36">
        <v>0</v>
      </c>
      <c r="J183" s="36">
        <v>356.5</v>
      </c>
      <c r="K183" s="37">
        <f>IF(tblWaste[[#This Row],[Date]]="","",IF(tblWaste[[#This Row],[Unit]]="kg",tblWaste[[#This Row],[Weight]],IF(tblWaste[[#This Row],[Unit]]="t",tblWaste[[#This Row],[Weight]]*1000,IF(tblWaste[[#This Row],[Unit]]="lb",tblWaste[[#This Row],[Weight]]*0.45359237,IF(tblWaste[[#This Row],[Unit]]="US ton",tblWaste[[#This Row],[Weight]]*907.18474,"")))))</f>
        <v>5750</v>
      </c>
      <c r="L183" s="38" t="str">
        <f>IF(tblWaste[[#This Row],[Date]]="","",IFERROR(INDEX(tblRoutes[Class],MATCH(tblWaste[[#This Row],[Route]],tblRoutes[Route],0)),""))</f>
        <v>Material recovery</v>
      </c>
      <c r="M183" s="38" t="str">
        <f>IF(tblWaste[[#This Row],[Date]]="","",IFERROR(INDEX(tblStreams[Hazardous],MATCH(tblWaste[[#This Row],[Stream]],tblStreams[Stream],0)),""))</f>
        <v>No</v>
      </c>
      <c r="N183" s="37">
        <f>IF(tblWaste[[#This Row],[Date]]="","",IF(OR(tblWaste[[#This Row],[Weight (kg)]]="",tblWaste[[#This Row],[Class]]=""),"",IF(OR(tblWaste[[#This Row],[Class]]="Material recovery",AND(tblWaste[[#This Row],[Class]]="Energy recovery",CountER="Yes")),tblWaste[[#This Row],[Weight (kg)]],0)))</f>
        <v>5750</v>
      </c>
      <c r="O183" s="30">
        <f>IF(tblWaste[[#This Row],[Date]]="","",N(tblWaste[[#This Row],[Charge]])-N(tblWaste[[#This Row],[Rebate]]))</f>
        <v>-356.5</v>
      </c>
      <c r="P183" s="39">
        <f>IF(tblWaste[[#This Row],[Date]]="","",IF(AND(tblWaste[[#This Row],[Date]]&gt;=FFrom,tblWaste[[#This Row],[Date]]&lt;=FTo),tblWaste[[#This Row],[Date]],""))</f>
        <v>46275</v>
      </c>
      <c r="Q183"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83" s="28" t="s">
        <v>86</v>
      </c>
    </row>
    <row r="184" spans="2:18">
      <c r="B184" s="35">
        <v>46276</v>
      </c>
      <c r="C184" s="28" t="s">
        <v>315</v>
      </c>
      <c r="D184" s="28" t="s">
        <v>87</v>
      </c>
      <c r="E184" s="28" t="s">
        <v>109</v>
      </c>
      <c r="F184" s="28" t="s">
        <v>133</v>
      </c>
      <c r="G184" s="36">
        <v>2370</v>
      </c>
      <c r="H184" s="28" t="s">
        <v>77</v>
      </c>
      <c r="I184" s="36">
        <v>0</v>
      </c>
      <c r="J184" s="36">
        <v>94.8</v>
      </c>
      <c r="K184" s="37">
        <f>IF(tblWaste[[#This Row],[Date]]="","",IF(tblWaste[[#This Row],[Unit]]="kg",tblWaste[[#This Row],[Weight]],IF(tblWaste[[#This Row],[Unit]]="t",tblWaste[[#This Row],[Weight]]*1000,IF(tblWaste[[#This Row],[Unit]]="lb",tblWaste[[#This Row],[Weight]]*0.45359237,IF(tblWaste[[#This Row],[Unit]]="US ton",tblWaste[[#This Row],[Weight]]*907.18474,"")))))</f>
        <v>2370</v>
      </c>
      <c r="L184" s="38" t="str">
        <f>IF(tblWaste[[#This Row],[Date]]="","",IFERROR(INDEX(tblRoutes[Class],MATCH(tblWaste[[#This Row],[Route]],tblRoutes[Route],0)),""))</f>
        <v>Material recovery</v>
      </c>
      <c r="M184" s="38" t="str">
        <f>IF(tblWaste[[#This Row],[Date]]="","",IFERROR(INDEX(tblStreams[Hazardous],MATCH(tblWaste[[#This Row],[Stream]],tblStreams[Stream],0)),""))</f>
        <v>No</v>
      </c>
      <c r="N184" s="37">
        <f>IF(tblWaste[[#This Row],[Date]]="","",IF(OR(tblWaste[[#This Row],[Weight (kg)]]="",tblWaste[[#This Row],[Class]]=""),"",IF(OR(tblWaste[[#This Row],[Class]]="Material recovery",AND(tblWaste[[#This Row],[Class]]="Energy recovery",CountER="Yes")),tblWaste[[#This Row],[Weight (kg)]],0)))</f>
        <v>2370</v>
      </c>
      <c r="O184" s="30">
        <f>IF(tblWaste[[#This Row],[Date]]="","",N(tblWaste[[#This Row],[Charge]])-N(tblWaste[[#This Row],[Rebate]]))</f>
        <v>-94.8</v>
      </c>
      <c r="P184" s="39">
        <f>IF(tblWaste[[#This Row],[Date]]="","",IF(AND(tblWaste[[#This Row],[Date]]&gt;=FFrom,tblWaste[[#This Row],[Date]]&lt;=FTo),tblWaste[[#This Row],[Date]],""))</f>
        <v>46276</v>
      </c>
      <c r="Q184"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84" s="28" t="s">
        <v>86</v>
      </c>
    </row>
    <row r="185" spans="2:18">
      <c r="B185" s="35">
        <v>46276</v>
      </c>
      <c r="C185" s="28" t="s">
        <v>316</v>
      </c>
      <c r="D185" s="28" t="s">
        <v>100</v>
      </c>
      <c r="E185" s="28" t="s">
        <v>118</v>
      </c>
      <c r="F185" s="28" t="s">
        <v>136</v>
      </c>
      <c r="G185" s="36">
        <v>1960</v>
      </c>
      <c r="H185" s="28" t="s">
        <v>77</v>
      </c>
      <c r="I185" s="36">
        <v>276.28</v>
      </c>
      <c r="J185" s="36">
        <v>0</v>
      </c>
      <c r="K185" s="37">
        <f>IF(tblWaste[[#This Row],[Date]]="","",IF(tblWaste[[#This Row],[Unit]]="kg",tblWaste[[#This Row],[Weight]],IF(tblWaste[[#This Row],[Unit]]="t",tblWaste[[#This Row],[Weight]]*1000,IF(tblWaste[[#This Row],[Unit]]="lb",tblWaste[[#This Row],[Weight]]*0.45359237,IF(tblWaste[[#This Row],[Unit]]="US ton",tblWaste[[#This Row],[Weight]]*907.18474,"")))))</f>
        <v>1960</v>
      </c>
      <c r="L185" s="38" t="str">
        <f>IF(tblWaste[[#This Row],[Date]]="","",IFERROR(INDEX(tblRoutes[Class],MATCH(tblWaste[[#This Row],[Route]],tblRoutes[Route],0)),""))</f>
        <v>Disposal</v>
      </c>
      <c r="M185" s="38" t="str">
        <f>IF(tblWaste[[#This Row],[Date]]="","",IFERROR(INDEX(tblStreams[Hazardous],MATCH(tblWaste[[#This Row],[Stream]],tblStreams[Stream],0)),""))</f>
        <v>No</v>
      </c>
      <c r="N185" s="37">
        <f>IF(tblWaste[[#This Row],[Date]]="","",IF(OR(tblWaste[[#This Row],[Weight (kg)]]="",tblWaste[[#This Row],[Class]]=""),"",IF(OR(tblWaste[[#This Row],[Class]]="Material recovery",AND(tblWaste[[#This Row],[Class]]="Energy recovery",CountER="Yes")),tblWaste[[#This Row],[Weight (kg)]],0)))</f>
        <v>0</v>
      </c>
      <c r="O185" s="30">
        <f>IF(tblWaste[[#This Row],[Date]]="","",N(tblWaste[[#This Row],[Charge]])-N(tblWaste[[#This Row],[Rebate]]))</f>
        <v>276.28</v>
      </c>
      <c r="P185" s="39">
        <f>IF(tblWaste[[#This Row],[Date]]="","",IF(AND(tblWaste[[#This Row],[Date]]&gt;=FFrom,tblWaste[[#This Row],[Date]]&lt;=FTo),tblWaste[[#This Row],[Date]],""))</f>
        <v>46276</v>
      </c>
      <c r="Q185"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85" s="28" t="s">
        <v>86</v>
      </c>
    </row>
    <row r="186" spans="2:18">
      <c r="B186" s="35">
        <v>46278</v>
      </c>
      <c r="C186" s="28" t="s">
        <v>317</v>
      </c>
      <c r="D186" s="28" t="s">
        <v>95</v>
      </c>
      <c r="E186" s="28" t="s">
        <v>111</v>
      </c>
      <c r="F186" s="28" t="s">
        <v>136</v>
      </c>
      <c r="G186" s="36">
        <v>250</v>
      </c>
      <c r="H186" s="28" t="s">
        <v>77</v>
      </c>
      <c r="I186" s="36">
        <v>68.75</v>
      </c>
      <c r="J186" s="36">
        <v>0</v>
      </c>
      <c r="K186" s="37">
        <f>IF(tblWaste[[#This Row],[Date]]="","",IF(tblWaste[[#This Row],[Unit]]="kg",tblWaste[[#This Row],[Weight]],IF(tblWaste[[#This Row],[Unit]]="t",tblWaste[[#This Row],[Weight]]*1000,IF(tblWaste[[#This Row],[Unit]]="lb",tblWaste[[#This Row],[Weight]]*0.45359237,IF(tblWaste[[#This Row],[Unit]]="US ton",tblWaste[[#This Row],[Weight]]*907.18474,"")))))</f>
        <v>250</v>
      </c>
      <c r="L186" s="38" t="str">
        <f>IF(tblWaste[[#This Row],[Date]]="","",IFERROR(INDEX(tblRoutes[Class],MATCH(tblWaste[[#This Row],[Route]],tblRoutes[Route],0)),""))</f>
        <v>Material recovery</v>
      </c>
      <c r="M186" s="38" t="str">
        <f>IF(tblWaste[[#This Row],[Date]]="","",IFERROR(INDEX(tblStreams[Hazardous],MATCH(tblWaste[[#This Row],[Stream]],tblStreams[Stream],0)),""))</f>
        <v>No</v>
      </c>
      <c r="N186" s="37">
        <f>IF(tblWaste[[#This Row],[Date]]="","",IF(OR(tblWaste[[#This Row],[Weight (kg)]]="",tblWaste[[#This Row],[Class]]=""),"",IF(OR(tblWaste[[#This Row],[Class]]="Material recovery",AND(tblWaste[[#This Row],[Class]]="Energy recovery",CountER="Yes")),tblWaste[[#This Row],[Weight (kg)]],0)))</f>
        <v>250</v>
      </c>
      <c r="O186" s="30">
        <f>IF(tblWaste[[#This Row],[Date]]="","",N(tblWaste[[#This Row],[Charge]])-N(tblWaste[[#This Row],[Rebate]]))</f>
        <v>68.75</v>
      </c>
      <c r="P186" s="39">
        <f>IF(tblWaste[[#This Row],[Date]]="","",IF(AND(tblWaste[[#This Row],[Date]]&gt;=FFrom,tblWaste[[#This Row],[Date]]&lt;=FTo),tblWaste[[#This Row],[Date]],""))</f>
        <v>46278</v>
      </c>
      <c r="Q186"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86" s="28" t="s">
        <v>86</v>
      </c>
    </row>
    <row r="187" spans="2:18">
      <c r="B187" s="35">
        <v>46282</v>
      </c>
      <c r="C187" s="28" t="s">
        <v>318</v>
      </c>
      <c r="D187" s="28" t="s">
        <v>100</v>
      </c>
      <c r="E187" s="28" t="s">
        <v>118</v>
      </c>
      <c r="F187" s="28" t="s">
        <v>136</v>
      </c>
      <c r="G187" s="36">
        <v>1710</v>
      </c>
      <c r="H187" s="28" t="s">
        <v>77</v>
      </c>
      <c r="I187" s="36">
        <v>246.78</v>
      </c>
      <c r="J187" s="36">
        <v>0</v>
      </c>
      <c r="K187" s="37">
        <f>IF(tblWaste[[#This Row],[Date]]="","",IF(tblWaste[[#This Row],[Unit]]="kg",tblWaste[[#This Row],[Weight]],IF(tblWaste[[#This Row],[Unit]]="t",tblWaste[[#This Row],[Weight]]*1000,IF(tblWaste[[#This Row],[Unit]]="lb",tblWaste[[#This Row],[Weight]]*0.45359237,IF(tblWaste[[#This Row],[Unit]]="US ton",tblWaste[[#This Row],[Weight]]*907.18474,"")))))</f>
        <v>1710</v>
      </c>
      <c r="L187" s="38" t="str">
        <f>IF(tblWaste[[#This Row],[Date]]="","",IFERROR(INDEX(tblRoutes[Class],MATCH(tblWaste[[#This Row],[Route]],tblRoutes[Route],0)),""))</f>
        <v>Disposal</v>
      </c>
      <c r="M187" s="38" t="str">
        <f>IF(tblWaste[[#This Row],[Date]]="","",IFERROR(INDEX(tblStreams[Hazardous],MATCH(tblWaste[[#This Row],[Stream]],tblStreams[Stream],0)),""))</f>
        <v>No</v>
      </c>
      <c r="N187" s="37">
        <f>IF(tblWaste[[#This Row],[Date]]="","",IF(OR(tblWaste[[#This Row],[Weight (kg)]]="",tblWaste[[#This Row],[Class]]=""),"",IF(OR(tblWaste[[#This Row],[Class]]="Material recovery",AND(tblWaste[[#This Row],[Class]]="Energy recovery",CountER="Yes")),tblWaste[[#This Row],[Weight (kg)]],0)))</f>
        <v>0</v>
      </c>
      <c r="O187" s="30">
        <f>IF(tblWaste[[#This Row],[Date]]="","",N(tblWaste[[#This Row],[Charge]])-N(tblWaste[[#This Row],[Rebate]]))</f>
        <v>246.78</v>
      </c>
      <c r="P187" s="39">
        <f>IF(tblWaste[[#This Row],[Date]]="","",IF(AND(tblWaste[[#This Row],[Date]]&gt;=FFrom,tblWaste[[#This Row],[Date]]&lt;=FTo),tblWaste[[#This Row],[Date]],""))</f>
        <v>46282</v>
      </c>
      <c r="Q187"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87" s="28" t="s">
        <v>86</v>
      </c>
    </row>
    <row r="188" spans="2:18">
      <c r="B188" s="35">
        <v>46285</v>
      </c>
      <c r="C188" s="28" t="s">
        <v>319</v>
      </c>
      <c r="D188" s="28" t="s">
        <v>81</v>
      </c>
      <c r="E188" s="28" t="s">
        <v>109</v>
      </c>
      <c r="F188" s="28" t="s">
        <v>133</v>
      </c>
      <c r="G188" s="36">
        <v>5.96</v>
      </c>
      <c r="H188" s="28" t="s">
        <v>75</v>
      </c>
      <c r="I188" s="36">
        <v>0</v>
      </c>
      <c r="J188" s="36">
        <v>369.52</v>
      </c>
      <c r="K188" s="37">
        <f>IF(tblWaste[[#This Row],[Date]]="","",IF(tblWaste[[#This Row],[Unit]]="kg",tblWaste[[#This Row],[Weight]],IF(tblWaste[[#This Row],[Unit]]="t",tblWaste[[#This Row],[Weight]]*1000,IF(tblWaste[[#This Row],[Unit]]="lb",tblWaste[[#This Row],[Weight]]*0.45359237,IF(tblWaste[[#This Row],[Unit]]="US ton",tblWaste[[#This Row],[Weight]]*907.18474,"")))))</f>
        <v>5960</v>
      </c>
      <c r="L188" s="38" t="str">
        <f>IF(tblWaste[[#This Row],[Date]]="","",IFERROR(INDEX(tblRoutes[Class],MATCH(tblWaste[[#This Row],[Route]],tblRoutes[Route],0)),""))</f>
        <v>Material recovery</v>
      </c>
      <c r="M188" s="38" t="str">
        <f>IF(tblWaste[[#This Row],[Date]]="","",IFERROR(INDEX(tblStreams[Hazardous],MATCH(tblWaste[[#This Row],[Stream]],tblStreams[Stream],0)),""))</f>
        <v>No</v>
      </c>
      <c r="N188" s="37">
        <f>IF(tblWaste[[#This Row],[Date]]="","",IF(OR(tblWaste[[#This Row],[Weight (kg)]]="",tblWaste[[#This Row],[Class]]=""),"",IF(OR(tblWaste[[#This Row],[Class]]="Material recovery",AND(tblWaste[[#This Row],[Class]]="Energy recovery",CountER="Yes")),tblWaste[[#This Row],[Weight (kg)]],0)))</f>
        <v>5960</v>
      </c>
      <c r="O188" s="30">
        <f>IF(tblWaste[[#This Row],[Date]]="","",N(tblWaste[[#This Row],[Charge]])-N(tblWaste[[#This Row],[Rebate]]))</f>
        <v>-369.52</v>
      </c>
      <c r="P188" s="39">
        <f>IF(tblWaste[[#This Row],[Date]]="","",IF(AND(tblWaste[[#This Row],[Date]]&gt;=FFrom,tblWaste[[#This Row],[Date]]&lt;=FTo),tblWaste[[#This Row],[Date]],""))</f>
        <v>46285</v>
      </c>
      <c r="Q188"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88" s="28" t="s">
        <v>86</v>
      </c>
    </row>
    <row r="189" spans="2:18">
      <c r="B189" s="35">
        <v>46289</v>
      </c>
      <c r="C189" s="28" t="s">
        <v>320</v>
      </c>
      <c r="D189" s="28" t="s">
        <v>100</v>
      </c>
      <c r="E189" s="28" t="s">
        <v>118</v>
      </c>
      <c r="F189" s="28" t="s">
        <v>136</v>
      </c>
      <c r="G189" s="36">
        <v>1990</v>
      </c>
      <c r="H189" s="28" t="s">
        <v>77</v>
      </c>
      <c r="I189" s="36">
        <v>279.82</v>
      </c>
      <c r="J189" s="36">
        <v>0</v>
      </c>
      <c r="K189" s="37">
        <f>IF(tblWaste[[#This Row],[Date]]="","",IF(tblWaste[[#This Row],[Unit]]="kg",tblWaste[[#This Row],[Weight]],IF(tblWaste[[#This Row],[Unit]]="t",tblWaste[[#This Row],[Weight]]*1000,IF(tblWaste[[#This Row],[Unit]]="lb",tblWaste[[#This Row],[Weight]]*0.45359237,IF(tblWaste[[#This Row],[Unit]]="US ton",tblWaste[[#This Row],[Weight]]*907.18474,"")))))</f>
        <v>1990</v>
      </c>
      <c r="L189" s="38" t="str">
        <f>IF(tblWaste[[#This Row],[Date]]="","",IFERROR(INDEX(tblRoutes[Class],MATCH(tblWaste[[#This Row],[Route]],tblRoutes[Route],0)),""))</f>
        <v>Disposal</v>
      </c>
      <c r="M189" s="38" t="str">
        <f>IF(tblWaste[[#This Row],[Date]]="","",IFERROR(INDEX(tblStreams[Hazardous],MATCH(tblWaste[[#This Row],[Stream]],tblStreams[Stream],0)),""))</f>
        <v>No</v>
      </c>
      <c r="N189" s="37">
        <f>IF(tblWaste[[#This Row],[Date]]="","",IF(OR(tblWaste[[#This Row],[Weight (kg)]]="",tblWaste[[#This Row],[Class]]=""),"",IF(OR(tblWaste[[#This Row],[Class]]="Material recovery",AND(tblWaste[[#This Row],[Class]]="Energy recovery",CountER="Yes")),tblWaste[[#This Row],[Weight (kg)]],0)))</f>
        <v>0</v>
      </c>
      <c r="O189" s="30">
        <f>IF(tblWaste[[#This Row],[Date]]="","",N(tblWaste[[#This Row],[Charge]])-N(tblWaste[[#This Row],[Rebate]]))</f>
        <v>279.82</v>
      </c>
      <c r="P189" s="39">
        <f>IF(tblWaste[[#This Row],[Date]]="","",IF(AND(tblWaste[[#This Row],[Date]]&gt;=FFrom,tblWaste[[#This Row],[Date]]&lt;=FTo),tblWaste[[#This Row],[Date]],""))</f>
        <v>46289</v>
      </c>
      <c r="Q189"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89" s="28" t="s">
        <v>86</v>
      </c>
    </row>
    <row r="190" spans="2:18">
      <c r="B190" s="35">
        <v>46290</v>
      </c>
      <c r="C190" s="28" t="s">
        <v>321</v>
      </c>
      <c r="D190" s="28" t="s">
        <v>81</v>
      </c>
      <c r="E190" s="28" t="s">
        <v>109</v>
      </c>
      <c r="F190" s="28" t="s">
        <v>133</v>
      </c>
      <c r="G190" s="36">
        <v>4.98</v>
      </c>
      <c r="H190" s="28" t="s">
        <v>75</v>
      </c>
      <c r="I190" s="36">
        <v>0</v>
      </c>
      <c r="J190" s="36">
        <v>308.76</v>
      </c>
      <c r="K190" s="37">
        <f>IF(tblWaste[[#This Row],[Date]]="","",IF(tblWaste[[#This Row],[Unit]]="kg",tblWaste[[#This Row],[Weight]],IF(tblWaste[[#This Row],[Unit]]="t",tblWaste[[#This Row],[Weight]]*1000,IF(tblWaste[[#This Row],[Unit]]="lb",tblWaste[[#This Row],[Weight]]*0.45359237,IF(tblWaste[[#This Row],[Unit]]="US ton",tblWaste[[#This Row],[Weight]]*907.18474,"")))))</f>
        <v>4980</v>
      </c>
      <c r="L190" s="38" t="str">
        <f>IF(tblWaste[[#This Row],[Date]]="","",IFERROR(INDEX(tblRoutes[Class],MATCH(tblWaste[[#This Row],[Route]],tblRoutes[Route],0)),""))</f>
        <v>Material recovery</v>
      </c>
      <c r="M190" s="38" t="str">
        <f>IF(tblWaste[[#This Row],[Date]]="","",IFERROR(INDEX(tblStreams[Hazardous],MATCH(tblWaste[[#This Row],[Stream]],tblStreams[Stream],0)),""))</f>
        <v>No</v>
      </c>
      <c r="N190" s="37">
        <f>IF(tblWaste[[#This Row],[Date]]="","",IF(OR(tblWaste[[#This Row],[Weight (kg)]]="",tblWaste[[#This Row],[Class]]=""),"",IF(OR(tblWaste[[#This Row],[Class]]="Material recovery",AND(tblWaste[[#This Row],[Class]]="Energy recovery",CountER="Yes")),tblWaste[[#This Row],[Weight (kg)]],0)))</f>
        <v>4980</v>
      </c>
      <c r="O190" s="30">
        <f>IF(tblWaste[[#This Row],[Date]]="","",N(tblWaste[[#This Row],[Charge]])-N(tblWaste[[#This Row],[Rebate]]))</f>
        <v>-308.76</v>
      </c>
      <c r="P190" s="39">
        <f>IF(tblWaste[[#This Row],[Date]]="","",IF(AND(tblWaste[[#This Row],[Date]]&gt;=FFrom,tblWaste[[#This Row],[Date]]&lt;=FTo),tblWaste[[#This Row],[Date]],""))</f>
        <v>46290</v>
      </c>
      <c r="Q190" s="40" t="str">
        <f>IF(tblWaste[[#This Row],[Date]]="","",IF(tblWaste[[#This Row],[Stream]]="","Missing stream",IF(tblWaste[[#This Row],[Route]]="","Missing route",IF(tblWaste[[#This Row],[Weight]]="","Missing weight",IF(tblWaste[[#This Row],[Unit]]="","Missing unit",IF(tblWaste[[#This Row],[Hazardous]]="","Stream not on Setup list",IF(tblWaste[[#This Row],[Class]]="","Route not on Setup list",IF(tblWaste[[#This Row],[Weight (kg)]]="","Unit must be kg, t, lb or US ton",IF(AND(tblWaste[[#This Row],[Hazardous]]="Yes",tblWaste[[#This Row],[Route]]="Landfill"),"Hazardous to landfill: check permit",IF(AND(tblWaste[[#This Row],[Ticket no.]]&lt;&gt;"",COUNTIFS(tblWaste[Ticket no.],tblWaste[[#This Row],[Ticket no.]])&gt;1),"Duplicate ticket","OK"))))))))))</f>
        <v>OK</v>
      </c>
      <c r="R190" s="28" t="s">
        <v>86</v>
      </c>
    </row>
  </sheetData>
  <mergeCells count="3">
    <mergeCell ref="A1:R1"/>
    <mergeCell ref="B2:Q2"/>
    <mergeCell ref="B4:R4"/>
  </mergeCells>
  <conditionalFormatting sqref="Q7:Q690">
    <cfRule type="expression" dxfId="3" priority="1">
      <formula>$Q7="OK"</formula>
    </cfRule>
    <cfRule type="expression" dxfId="1" priority="2">
      <formula>AND($Q7&lt;&gt;"",$Q7&lt;&gt;"OK")</formula>
    </cfRule>
  </conditionalFormatting>
  <dataValidations count="10">
    <dataValidation type="date" allowBlank="1" showInputMessage="1" showErrorMessage="1" errorTitle="Check this entry" error="Enter a date between 01 Jan 2000 and 31 Dec 2100." promptTitle="Date" prompt="Collection date on the ticket. Enter a date between 01 Jan 2000 and 31 Dec 2100." sqref="B7:B690">
      <formula1>36526</formula1>
      <formula2>73415</formula2>
    </dataValidation>
    <dataValidation type="textLength" allowBlank="1" showInputMessage="1" showErrorMessage="1" errorTitle="Check this entry" error="Text up to 30 characters." promptTitle="Ticket no." prompt="Weighbridge ticket, manifest or consignment note number. Text up to 30 characters." sqref="C7:C690">
      <formula1>0</formula1>
      <formula2>30</formula2>
    </dataValidation>
    <dataValidation type="list" allowBlank="1" showInputMessage="1" showErrorMessage="1" errorTitle="Check this entry" error="Pick from the list (edit the list on Setup: Streams)." promptTitle="Stream" prompt="Pick from the list (edit the list on Setup: Streams)." sqref="D7:D690">
      <formula1>Streams</formula1>
    </dataValidation>
    <dataValidation type="list" allowBlank="1" showInputMessage="1" showErrorMessage="1" errorTitle="Check this entry" error="Pick from the list (edit the list on Setup: Routes)." promptTitle="Route" prompt="Pick from the list (edit the list on Setup: Routes)." sqref="E7:E690">
      <formula1>Routes</formula1>
    </dataValidation>
    <dataValidation type="textLength" allowBlank="1" showInputMessage="1" showErrorMessage="1" errorTitle="Check this entry" error="Text up to 40 characters." promptTitle="Hauler" prompt="Text up to 40 characters." sqref="F7:F690">
      <formula1>0</formula1>
      <formula2>40</formula2>
    </dataValidation>
    <dataValidation type="decimal" allowBlank="1" showInputMessage="1" showErrorMessage="1" errorTitle="Check this entry" error="Enter a number of at least 0." promptTitle="Weight" prompt="Net weight as printed on the ticket, in the unit of the next column. Enter a number of at least 0." sqref="G7:G690">
      <formula1>0</formula1>
      <formula2>1000000000.0</formula2>
    </dataValidation>
    <dataValidation type="list" allowBlank="1" showInputMessage="1" showErrorMessage="1" errorTitle="Check this entry" error="Pick one of: kg, t, lb, US ton." promptTitle="Unit" prompt="kg, t (metric tonne), lb or US ton (2,000 lb). Pick one of: kg, t, lb, US ton." sqref="H7:H690">
      <formula1>"kg,t,lb,US ton"</formula1>
    </dataValidation>
    <dataValidation type="decimal" allowBlank="1" showInputMessage="1" showErrorMessage="1" errorTitle="Check this entry" error="Enter a number of at least 0." promptTitle="Charge" prompt="What the hauler charged for this collection (lift, haulage, gate fee, tax). 0 if none. Enter a number of at least 0." sqref="I7:I690">
      <formula1>0</formula1>
      <formula2>1000000000.0</formula2>
    </dataValidation>
    <dataValidation type="decimal" allowBlank="1" showInputMessage="1" showErrorMessage="1" errorTitle="Check this entry" error="Enter a number of at least 0." promptTitle="Rebate" prompt="What the hauler paid you for the material (cardboard, metal). 0 if none. Enter a number of at least 0." sqref="J7:J690">
      <formula1>0</formula1>
      <formula2>1000000000.0</formula2>
    </dataValidation>
    <dataValidation type="textLength" allowBlank="1" showInputMessage="1" showErrorMessage="1" errorTitle="Check this entry" error="Text up to 255 characters." promptTitle="Notes" prompt="Text up to 255 characters." sqref="R7:R690">
      <formula1>0</formula1>
      <formula2>255</formula2>
    </dataValidation>
  </dataValidations>
  <hyperlinks>
    <hyperlink ref="R2" r:id="rId1" tooltip="Free manufacturing calculators and templates"/>
  </hyperlinks>
  <pageMargins left="0.4" right="0.4" top="0.7" bottom="0.65" header="0.3" footer="0.3"/>
  <pageSetup fitToHeight="0" orientation="landscape"/>
  <headerFooter>
    <oddHeader>&amp;L&amp;8MFG Calcs - Waste and Recycling Tracker&amp;R&amp;8&amp;A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93"/>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22</v>
      </c>
      <c r="C2" s="2"/>
      <c r="D2" s="2"/>
      <c r="E2" s="2"/>
      <c r="F2" s="2"/>
      <c r="G2" s="2"/>
      <c r="H2" s="2"/>
      <c r="I2" s="2"/>
      <c r="J2" s="2"/>
      <c r="K2" s="3" t="s">
        <v>2</v>
      </c>
      <c r="L2" s="3"/>
    </row>
    <row r="3" spans="1:12" ht="6" customHeight="1" x14ac:dyDescent="0.25"/>
    <row r="4" spans="1:12" x14ac:dyDescent="0.25">
      <c r="B4" s="27" t="s">
        <v>322</v>
      </c>
      <c r="C4" s="27"/>
      <c r="D4" s="41"/>
      <c r="E4" s="41"/>
      <c r="G4" s="27" t="s">
        <v>323</v>
      </c>
      <c r="H4" s="27"/>
      <c r="I4" s="41"/>
      <c r="J4" s="41"/>
    </row>
    <row r="5" spans="1:12" x14ac:dyDescent="0.25">
      <c r="B5" s="42" t="str">
        <f>"Showing "&amp;COUNTIFS(tblWaste[View date],"&gt;0")&amp;" collections. Weights in "&amp;ReportUnit&amp;", money in "&amp;Currency&amp;". Energy recovery counted as diverted: "&amp;CountER&amp;"."</f>
        <v>Showing 184 collections. Weights in t, money in USD. Energy recovery counted as diverted: Yes.</v>
      </c>
      <c r="C5" s="42"/>
      <c r="D5" s="42"/>
      <c r="E5" s="42"/>
      <c r="F5" s="42"/>
      <c r="G5" s="42"/>
      <c r="H5" s="42"/>
      <c r="I5" s="42"/>
      <c r="J5" s="42"/>
      <c r="K5" s="42"/>
      <c r="L5" s="42"/>
    </row>
    <row r="7" spans="1:12" ht="18" customHeight="1" x14ac:dyDescent="0.25">
      <c r="B7" s="43" t="str">
        <f>"TOTAL WASTE ("&amp;UPPER(ReportUnit)&amp;")"</f>
        <v>TOTAL WASTE (T)</v>
      </c>
      <c r="C7" s="43"/>
      <c r="D7" s="43" t="s">
        <v>324</v>
      </c>
      <c r="E7" s="43"/>
      <c r="F7" s="43"/>
      <c r="G7" s="43" t="str">
        <f>"SENT TO DISPOSAL ("&amp;UPPER(ReportUnit)&amp;")"</f>
        <v>SENT TO DISPOSAL (T)</v>
      </c>
      <c r="H7" s="43"/>
      <c r="I7" s="43"/>
      <c r="J7" s="43" t="str">
        <f>"HAZARDOUS WASTE ("&amp;UPPER(ReportUnit)&amp;")"</f>
        <v>HAZARDOUS WASTE (T)</v>
      </c>
      <c r="K7" s="43"/>
      <c r="L7" s="43"/>
    </row>
    <row r="8" spans="1:12" ht="21" customHeight="1" x14ac:dyDescent="0.25">
      <c r="B8" s="44">
        <f>SUMIFS(tblWaste[Weight (kg)],tblWaste[View date],"&gt;0")/KgPerUnit</f>
        <v>473.8</v>
      </c>
      <c r="C8" s="44"/>
      <c r="D8" s="45">
        <f>IF((SUMIFS(tblWaste[Weight (kg)],tblWaste[View date],"&gt;0"))=0,"",(SUMIFS(tblWaste[Diverted (kg)],tblWaste[View date],"&gt;0"))/(SUMIFS(tblWaste[Weight (kg)],tblWaste[View date],"&gt;0")))</f>
        <v>0.719248628113128</v>
      </c>
      <c r="E8" s="45"/>
      <c r="F8" s="45"/>
      <c r="G8" s="44">
        <f>SUMIFS(tblWaste[Weight (kg)],tblWaste[Class],"Disposal",tblWaste[View date],"&gt;0")/KgPerUnit</f>
        <v>133.02</v>
      </c>
      <c r="H8" s="44"/>
      <c r="I8" s="44"/>
      <c r="J8" s="46">
        <f>SUMIFS(tblWaste[Weight (kg)],tblWaste[Hazardous],"Yes",tblWaste[View date],"&gt;0")/KgPerUnit</f>
        <v>5.86</v>
      </c>
      <c r="K8" s="46"/>
      <c r="L8" s="46"/>
    </row>
    <row r="9" spans="1:12" ht="21" customHeight="1" x14ac:dyDescent="0.25">
      <c r="B9" s="44"/>
      <c r="C9" s="44"/>
      <c r="D9" s="45"/>
      <c r="E9" s="45"/>
      <c r="F9" s="45"/>
      <c r="G9" s="44"/>
      <c r="H9" s="44"/>
      <c r="I9" s="44"/>
      <c r="J9" s="46"/>
      <c r="K9" s="46"/>
      <c r="L9" s="46"/>
    </row>
    <row r="10" spans="1:12" x14ac:dyDescent="0.25">
      <c r="B10" s="47" t="s">
        <v>325</v>
      </c>
      <c r="C10" s="47"/>
      <c r="D10" s="48">
        <f>TargetDiv</f>
        <v>0.8</v>
      </c>
      <c r="E10" s="48"/>
      <c r="F10" s="48"/>
      <c r="G10" s="47" t="s">
        <v>326</v>
      </c>
      <c r="H10" s="47"/>
      <c r="I10" s="47"/>
      <c r="J10" s="47" t="s">
        <v>327</v>
      </c>
      <c r="K10" s="47"/>
      <c r="L10" s="47"/>
    </row>
    <row r="11" spans="1:12" ht="18" customHeight="1" x14ac:dyDescent="0.25">
      <c r="B11" s="49"/>
      <c r="C11" s="49"/>
      <c r="D11" s="49" t="str">
        <f>IF(NOT(ISNUMBER(KpiRate)),"No data",IF(KpiRate&gt;=(TargetDiv),"On target",IF(KpiRate&gt;=(TargetDiv)*(1-0.05),"Near target","Below target")))</f>
        <v>Below target</v>
      </c>
      <c r="E11" s="49"/>
      <c r="F11" s="49"/>
      <c r="G11" s="49"/>
      <c r="H11" s="49"/>
      <c r="I11" s="49"/>
      <c r="J11" s="49"/>
      <c r="K11" s="49"/>
      <c r="L11" s="49"/>
    </row>
    <row r="29" spans="2:12" ht="18" customHeight="1" x14ac:dyDescent="0.25">
      <c r="B29" s="43" t="str">
        <f>"NET WASTE COST ("&amp;Currency&amp;")"</f>
        <v>NET WASTE COST (USD)</v>
      </c>
      <c r="C29" s="43"/>
      <c r="D29" s="43" t="str">
        <f>"RECYCLING REBATES ("&amp;Currency&amp;")"</f>
        <v>RECYCLING REBATES (USD)</v>
      </c>
      <c r="E29" s="43"/>
      <c r="F29" s="43"/>
      <c r="G29" s="43" t="str">
        <f>"NET COST ("&amp;Currency&amp;"/"&amp;UPPER(ReportUnit)&amp;")"</f>
        <v>NET COST (USD/T)</v>
      </c>
      <c r="H29" s="43"/>
      <c r="I29" s="43"/>
      <c r="J29" s="43" t="s">
        <v>328</v>
      </c>
      <c r="K29" s="43"/>
      <c r="L29" s="43"/>
    </row>
    <row r="30" spans="2:12" ht="21" customHeight="1" x14ac:dyDescent="0.25">
      <c r="B30" s="50">
        <f>SUMIFS(tblWaste[Net cost],tblWaste[View date],"&gt;0")</f>
        <v>6381.78</v>
      </c>
      <c r="C30" s="50"/>
      <c r="D30" s="50">
        <f>SUMIFS(tblWaste[Rebate],tblWaste[View date],"&gt;0")</f>
        <v>18944.48</v>
      </c>
      <c r="E30" s="50"/>
      <c r="F30" s="50"/>
      <c r="G30" s="46">
        <f>IF((SUMIFS(tblWaste[Weight (kg)],tblWaste[View date],"&gt;0")/KgPerUnit)=0,"",(SUMIFS(tblWaste[Net cost],tblWaste[View date],"&gt;0"))/(SUMIFS(tblWaste[Weight (kg)],tblWaste[View date],"&gt;0")/KgPerUnit))</f>
        <v>13.4693541578725</v>
      </c>
      <c r="H30" s="46"/>
      <c r="I30" s="46"/>
      <c r="J30" s="51" t="str">
        <f>IF(INDEX($I$82:$I$89,1)&gt;0,INDEX($H$82:$H$89,1),"None logged")</f>
        <v>Corrugated offcuts</v>
      </c>
      <c r="K30" s="51"/>
      <c r="L30" s="51"/>
    </row>
    <row r="31" spans="2:12" ht="21" customHeight="1" x14ac:dyDescent="0.25">
      <c r="B31" s="50"/>
      <c r="C31" s="50"/>
      <c r="D31" s="50"/>
      <c r="E31" s="50"/>
      <c r="F31" s="50"/>
      <c r="G31" s="46"/>
      <c r="H31" s="46"/>
      <c r="I31" s="46"/>
      <c r="J31" s="51"/>
      <c r="K31" s="51"/>
      <c r="L31" s="51"/>
    </row>
    <row r="32" spans="2:12" x14ac:dyDescent="0.25">
      <c r="B32" s="47" t="s">
        <v>329</v>
      </c>
      <c r="C32" s="47"/>
      <c r="D32" s="47" t="s">
        <v>330</v>
      </c>
      <c r="E32" s="47"/>
      <c r="F32" s="47"/>
      <c r="G32" s="47" t="s">
        <v>331</v>
      </c>
      <c r="H32" s="47"/>
      <c r="I32" s="47"/>
      <c r="J32" s="47" t="s">
        <v>332</v>
      </c>
      <c r="K32" s="47"/>
      <c r="L32" s="47"/>
    </row>
    <row r="33" spans="2:12" ht="18" customHeight="1" x14ac:dyDescent="0.25">
      <c r="B33" s="49"/>
      <c r="C33" s="49"/>
      <c r="D33" s="49"/>
      <c r="E33" s="49"/>
      <c r="F33" s="49"/>
      <c r="G33" s="49"/>
      <c r="H33" s="49"/>
      <c r="I33" s="49"/>
      <c r="J33" s="49"/>
      <c r="K33" s="49"/>
      <c r="L33" s="49"/>
    </row>
    <row r="51" spans="2:9" x14ac:dyDescent="0.25">
      <c r="B51" s="31" t="s">
        <v>333</v>
      </c>
      <c r="C51" s="31"/>
      <c r="D51" s="31"/>
      <c r="E51" s="31"/>
      <c r="F51" s="31"/>
      <c r="G51" s="31"/>
      <c r="H51" s="31"/>
      <c r="I51" s="31"/>
    </row>
    <row r="52" spans="2:9" ht="32" customHeight="1" x14ac:dyDescent="0.25">
      <c r="B52" s="52" t="s">
        <v>334</v>
      </c>
      <c r="C52" s="32" t="s">
        <v>335</v>
      </c>
      <c r="D52" s="32" t="s">
        <v>107</v>
      </c>
      <c r="E52" s="32" t="s">
        <v>113</v>
      </c>
      <c r="F52" s="32" t="s">
        <v>116</v>
      </c>
      <c r="G52" s="32" t="s">
        <v>336</v>
      </c>
      <c r="H52" s="32" t="s">
        <v>128</v>
      </c>
      <c r="I52" s="32" t="s">
        <v>337</v>
      </c>
    </row>
    <row r="53" spans="2:9" ht="14" customHeight="1" x14ac:dyDescent="0.25">
      <c r="B53" s="34"/>
      <c r="C53" s="34" t="str">
        <f>ReportUnit</f>
        <v>t</v>
      </c>
      <c r="D53" s="34" t="str">
        <f>ReportUnit</f>
        <v>t</v>
      </c>
      <c r="E53" s="34" t="str">
        <f>ReportUnit</f>
        <v>t</v>
      </c>
      <c r="F53" s="34" t="str">
        <f>ReportUnit</f>
        <v>t</v>
      </c>
      <c r="G53" s="34" t="s">
        <v>338</v>
      </c>
      <c r="H53" s="34" t="str">
        <f>Currency</f>
        <v>USD</v>
      </c>
      <c r="I53" s="34" t="s">
        <v>338</v>
      </c>
    </row>
    <row r="54" spans="2:9" x14ac:dyDescent="0.25">
      <c r="B54" s="53">
        <f>IF($B$55="","",IF(EDATE($B$55,-1)&lt;DATE(YEAR(MIN(tblWaste[View date])),MONTH(MIN(tblWaste[View date])),1),"",EDATE($B$55,-1)))</f>
        <v>45931</v>
      </c>
      <c r="C54" s="37">
        <f>IF($B$54="","",SUMIFS(tblWaste[Weight (kg)],tblWaste[View date],"&gt;="&amp;$B$54,tblWaste[View date],"&lt;"&amp;EDATE($B$54,1))/KgPerUnit)</f>
        <v>38.93</v>
      </c>
      <c r="D54" s="37">
        <f>IF($B$54="","",SUMIFS(tblWaste[Weight (kg)],tblWaste[Class],"Material recovery",tblWaste[View date],"&gt;="&amp;$B$54,tblWaste[View date],"&lt;"&amp;EDATE($B$54,1))/KgPerUnit)</f>
        <v>25.58</v>
      </c>
      <c r="E54" s="37">
        <f>IF($B$54="","",SUMIFS(tblWaste[Weight (kg)],tblWaste[Class],"Energy recovery",tblWaste[View date],"&gt;="&amp;$B$54,tblWaste[View date],"&lt;"&amp;EDATE($B$54,1))/KgPerUnit)</f>
        <v>0</v>
      </c>
      <c r="F54" s="37">
        <f>IF($B$54="","",SUMIFS(tblWaste[Weight (kg)],tblWaste[Class],"Disposal",tblWaste[View date],"&gt;="&amp;$B$54,tblWaste[View date],"&lt;"&amp;EDATE($B$54,1))/KgPerUnit)</f>
        <v>13.35</v>
      </c>
      <c r="G54" s="54">
        <f>IF($B$54="","",IF((SUMIFS(tblWaste[Weight (kg)],tblWaste[View date],"&gt;="&amp;$B$54,tblWaste[View date],"&lt;"&amp;EDATE($B$54,1)))=0,"",(SUMIFS(tblWaste[Diverted (kg)],tblWaste[View date],"&gt;="&amp;$B$54,tblWaste[View date],"&lt;"&amp;EDATE($B$54,1)))/(SUMIFS(tblWaste[Weight (kg)],tblWaste[View date],"&gt;="&amp;$B$54,tblWaste[View date],"&lt;"&amp;EDATE($B$54,1)))))</f>
        <v>0.657076804520935</v>
      </c>
      <c r="H54" s="55">
        <f>IF($B$54="","",SUMIFS(tblWaste[Net cost],tblWaste[View date],"&gt;="&amp;$B$54,tblWaste[View date],"&lt;"&amp;EDATE($B$54,1)))</f>
        <v>619.35</v>
      </c>
      <c r="I54" s="56">
        <f>TargetDiv</f>
        <v>0.8</v>
      </c>
    </row>
    <row r="55" spans="2:9" x14ac:dyDescent="0.25">
      <c r="B55" s="53">
        <f>IF($B$56="","",IF(EDATE($B$56,-1)&lt;DATE(YEAR(MIN(tblWaste[View date])),MONTH(MIN(tblWaste[View date])),1),"",EDATE($B$56,-1)))</f>
        <v>45962</v>
      </c>
      <c r="C55" s="37">
        <f>IF($B$55="","",SUMIFS(tblWaste[Weight (kg)],tblWaste[View date],"&gt;="&amp;$B$55,tblWaste[View date],"&lt;"&amp;EDATE($B$55,1))/KgPerUnit)</f>
        <v>41.33</v>
      </c>
      <c r="D55" s="37">
        <f>IF($B$55="","",SUMIFS(tblWaste[Weight (kg)],tblWaste[Class],"Material recovery",tblWaste[View date],"&gt;="&amp;$B$55,tblWaste[View date],"&lt;"&amp;EDATE($B$55,1))/KgPerUnit)</f>
        <v>25.26</v>
      </c>
      <c r="E55" s="37">
        <f>IF($B$55="","",SUMIFS(tblWaste[Weight (kg)],tblWaste[Class],"Energy recovery",tblWaste[View date],"&gt;="&amp;$B$55,tblWaste[View date],"&lt;"&amp;EDATE($B$55,1))/KgPerUnit)</f>
        <v>1.56</v>
      </c>
      <c r="F55" s="37">
        <f>IF($B$55="","",SUMIFS(tblWaste[Weight (kg)],tblWaste[Class],"Disposal",tblWaste[View date],"&gt;="&amp;$B$55,tblWaste[View date],"&lt;"&amp;EDATE($B$55,1))/KgPerUnit)</f>
        <v>14.51</v>
      </c>
      <c r="G55" s="54">
        <f>IF($B$55="","",IF((SUMIFS(tblWaste[Weight (kg)],tblWaste[View date],"&gt;="&amp;$B$55,tblWaste[View date],"&lt;"&amp;EDATE($B$55,1)))=0,"",(SUMIFS(tblWaste[Diverted (kg)],tblWaste[View date],"&gt;="&amp;$B$55,tblWaste[View date],"&lt;"&amp;EDATE($B$55,1)))/(SUMIFS(tblWaste[Weight (kg)],tblWaste[View date],"&gt;="&amp;$B$55,tblWaste[View date],"&lt;"&amp;EDATE($B$55,1)))))</f>
        <v>0.648923300266151</v>
      </c>
      <c r="H55" s="55">
        <f>IF($B$55="","",SUMIFS(tblWaste[Net cost],tblWaste[View date],"&gt;="&amp;$B$55,tblWaste[View date],"&lt;"&amp;EDATE($B$55,1)))</f>
        <v>1786.29</v>
      </c>
      <c r="I55" s="56">
        <f>TargetDiv</f>
        <v>0.8</v>
      </c>
    </row>
    <row r="56" spans="2:9" x14ac:dyDescent="0.25">
      <c r="B56" s="53">
        <f>IF($B$57="","",IF(EDATE($B$57,-1)&lt;DATE(YEAR(MIN(tblWaste[View date])),MONTH(MIN(tblWaste[View date])),1),"",EDATE($B$57,-1)))</f>
        <v>45992</v>
      </c>
      <c r="C56" s="37">
        <f>IF($B$56="","",SUMIFS(tblWaste[Weight (kg)],tblWaste[View date],"&gt;="&amp;$B$56,tblWaste[View date],"&lt;"&amp;EDATE($B$56,1))/KgPerUnit)</f>
        <v>41.71</v>
      </c>
      <c r="D56" s="37">
        <f>IF($B$56="","",SUMIFS(tblWaste[Weight (kg)],tblWaste[Class],"Material recovery",tblWaste[View date],"&gt;="&amp;$B$56,tblWaste[View date],"&lt;"&amp;EDATE($B$56,1))/KgPerUnit)</f>
        <v>26.69</v>
      </c>
      <c r="E56" s="37">
        <f>IF($B$56="","",SUMIFS(tblWaste[Weight (kg)],tblWaste[Class],"Energy recovery",tblWaste[View date],"&gt;="&amp;$B$56,tblWaste[View date],"&lt;"&amp;EDATE($B$56,1))/KgPerUnit)</f>
        <v>0</v>
      </c>
      <c r="F56" s="37">
        <f>IF($B$56="","",SUMIFS(tblWaste[Weight (kg)],tblWaste[Class],"Disposal",tblWaste[View date],"&gt;="&amp;$B$56,tblWaste[View date],"&lt;"&amp;EDATE($B$56,1))/KgPerUnit)</f>
        <v>15.02</v>
      </c>
      <c r="G56" s="54">
        <f>IF($B$56="","",IF((SUMIFS(tblWaste[Weight (kg)],tblWaste[View date],"&gt;="&amp;$B$56,tblWaste[View date],"&lt;"&amp;EDATE($B$56,1)))=0,"",(SUMIFS(tblWaste[Diverted (kg)],tblWaste[View date],"&gt;="&amp;$B$56,tblWaste[View date],"&lt;"&amp;EDATE($B$56,1)))/(SUMIFS(tblWaste[Weight (kg)],tblWaste[View date],"&gt;="&amp;$B$56,tblWaste[View date],"&lt;"&amp;EDATE($B$56,1)))))</f>
        <v>0.639894509709902</v>
      </c>
      <c r="H56" s="55">
        <f>IF($B$56="","",SUMIFS(tblWaste[Net cost],tblWaste[View date],"&gt;="&amp;$B$56,tblWaste[View date],"&lt;"&amp;EDATE($B$56,1)))</f>
        <v>745.62</v>
      </c>
      <c r="I56" s="56">
        <f>TargetDiv</f>
        <v>0.8</v>
      </c>
    </row>
    <row r="57" spans="2:9" x14ac:dyDescent="0.25">
      <c r="B57" s="53">
        <f>IF($B$58="","",IF(EDATE($B$58,-1)&lt;DATE(YEAR(MIN(tblWaste[View date])),MONTH(MIN(tblWaste[View date])),1),"",EDATE($B$58,-1)))</f>
        <v>46023</v>
      </c>
      <c r="C57" s="37">
        <f>IF($B$57="","",SUMIFS(tblWaste[Weight (kg)],tblWaste[View date],"&gt;="&amp;$B$57,tblWaste[View date],"&lt;"&amp;EDATE($B$57,1))/KgPerUnit)</f>
        <v>37.46</v>
      </c>
      <c r="D57" s="37">
        <f>IF($B$57="","",SUMIFS(tblWaste[Weight (kg)],tblWaste[Class],"Material recovery",tblWaste[View date],"&gt;="&amp;$B$57,tblWaste[View date],"&lt;"&amp;EDATE($B$57,1))/KgPerUnit)</f>
        <v>23.65</v>
      </c>
      <c r="E57" s="37">
        <f>IF($B$57="","",SUMIFS(tblWaste[Weight (kg)],tblWaste[Class],"Energy recovery",tblWaste[View date],"&gt;="&amp;$B$57,tblWaste[View date],"&lt;"&amp;EDATE($B$57,1))/KgPerUnit)</f>
        <v>0</v>
      </c>
      <c r="F57" s="37">
        <f>IF($B$57="","",SUMIFS(tblWaste[Weight (kg)],tblWaste[Class],"Disposal",tblWaste[View date],"&gt;="&amp;$B$57,tblWaste[View date],"&lt;"&amp;EDATE($B$57,1))/KgPerUnit)</f>
        <v>13.81</v>
      </c>
      <c r="G57" s="54">
        <f>IF($B$57="","",IF((SUMIFS(tblWaste[Weight (kg)],tblWaste[View date],"&gt;="&amp;$B$57,tblWaste[View date],"&lt;"&amp;EDATE($B$57,1)))=0,"",(SUMIFS(tblWaste[Diverted (kg)],tblWaste[View date],"&gt;="&amp;$B$57,tblWaste[View date],"&lt;"&amp;EDATE($B$57,1)))/(SUMIFS(tblWaste[Weight (kg)],tblWaste[View date],"&gt;="&amp;$B$57,tblWaste[View date],"&lt;"&amp;EDATE($B$57,1)))))</f>
        <v>0.631340096102509</v>
      </c>
      <c r="H57" s="55">
        <f>IF($B$57="","",SUMIFS(tblWaste[Net cost],tblWaste[View date],"&gt;="&amp;$B$57,tblWaste[View date],"&lt;"&amp;EDATE($B$57,1)))</f>
        <v>760.15</v>
      </c>
      <c r="I57" s="56">
        <f>TargetDiv</f>
        <v>0.8</v>
      </c>
    </row>
    <row r="58" spans="2:9" x14ac:dyDescent="0.25">
      <c r="B58" s="53">
        <f>IF($B$59="","",IF(EDATE($B$59,-1)&lt;DATE(YEAR(MIN(tblWaste[View date])),MONTH(MIN(tblWaste[View date])),1),"",EDATE($B$59,-1)))</f>
        <v>46054</v>
      </c>
      <c r="C58" s="37">
        <f>IF($B$58="","",SUMIFS(tblWaste[Weight (kg)],tblWaste[View date],"&gt;="&amp;$B$58,tblWaste[View date],"&lt;"&amp;EDATE($B$58,1))/KgPerUnit)</f>
        <v>41</v>
      </c>
      <c r="D58" s="37">
        <f>IF($B$58="","",SUMIFS(tblWaste[Weight (kg)],tblWaste[Class],"Material recovery",tblWaste[View date],"&gt;="&amp;$B$58,tblWaste[View date],"&lt;"&amp;EDATE($B$58,1))/KgPerUnit)</f>
        <v>24.28</v>
      </c>
      <c r="E58" s="37">
        <f>IF($B$58="","",SUMIFS(tblWaste[Weight (kg)],tblWaste[Class],"Energy recovery",tblWaste[View date],"&gt;="&amp;$B$58,tblWaste[View date],"&lt;"&amp;EDATE($B$58,1))/KgPerUnit)</f>
        <v>1.45</v>
      </c>
      <c r="F58" s="37">
        <f>IF($B$58="","",SUMIFS(tblWaste[Weight (kg)],tblWaste[Class],"Disposal",tblWaste[View date],"&gt;="&amp;$B$58,tblWaste[View date],"&lt;"&amp;EDATE($B$58,1))/KgPerUnit)</f>
        <v>15.27</v>
      </c>
      <c r="G58" s="54">
        <f>IF($B$58="","",IF((SUMIFS(tblWaste[Weight (kg)],tblWaste[View date],"&gt;="&amp;$B$58,tblWaste[View date],"&lt;"&amp;EDATE($B$58,1)))=0,"",(SUMIFS(tblWaste[Diverted (kg)],tblWaste[View date],"&gt;="&amp;$B$58,tblWaste[View date],"&lt;"&amp;EDATE($B$58,1)))/(SUMIFS(tblWaste[Weight (kg)],tblWaste[View date],"&gt;="&amp;$B$58,tblWaste[View date],"&lt;"&amp;EDATE($B$58,1)))))</f>
        <v>0.627560975609756</v>
      </c>
      <c r="H58" s="55">
        <f>IF($B$58="","",SUMIFS(tblWaste[Net cost],tblWaste[View date],"&gt;="&amp;$B$58,tblWaste[View date],"&lt;"&amp;EDATE($B$58,1)))</f>
        <v>1883.24</v>
      </c>
      <c r="I58" s="56">
        <f>TargetDiv</f>
        <v>0.8</v>
      </c>
    </row>
    <row r="59" spans="2:9" x14ac:dyDescent="0.25">
      <c r="B59" s="53">
        <f>IF($B$60="","",IF(EDATE($B$60,-1)&lt;DATE(YEAR(MIN(tblWaste[View date])),MONTH(MIN(tblWaste[View date])),1),"",EDATE($B$60,-1)))</f>
        <v>46082</v>
      </c>
      <c r="C59" s="37">
        <f>IF($B$59="","",SUMIFS(tblWaste[Weight (kg)],tblWaste[View date],"&gt;="&amp;$B$59,tblWaste[View date],"&lt;"&amp;EDATE($B$59,1))/KgPerUnit)</f>
        <v>41.12</v>
      </c>
      <c r="D59" s="37">
        <f>IF($B$59="","",SUMIFS(tblWaste[Weight (kg)],tblWaste[Class],"Material recovery",tblWaste[View date],"&gt;="&amp;$B$59,tblWaste[View date],"&lt;"&amp;EDATE($B$59,1))/KgPerUnit)</f>
        <v>26.13</v>
      </c>
      <c r="E59" s="37">
        <f>IF($B$59="","",SUMIFS(tblWaste[Weight (kg)],tblWaste[Class],"Energy recovery",tblWaste[View date],"&gt;="&amp;$B$59,tblWaste[View date],"&lt;"&amp;EDATE($B$59,1))/KgPerUnit)</f>
        <v>0</v>
      </c>
      <c r="F59" s="37">
        <f>IF($B$59="","",SUMIFS(tblWaste[Weight (kg)],tblWaste[Class],"Disposal",tblWaste[View date],"&gt;="&amp;$B$59,tblWaste[View date],"&lt;"&amp;EDATE($B$59,1))/KgPerUnit)</f>
        <v>14.99</v>
      </c>
      <c r="G59" s="54">
        <f>IF($B$59="","",IF((SUMIFS(tblWaste[Weight (kg)],tblWaste[View date],"&gt;="&amp;$B$59,tblWaste[View date],"&lt;"&amp;EDATE($B$59,1)))=0,"",(SUMIFS(tblWaste[Diverted (kg)],tblWaste[View date],"&gt;="&amp;$B$59,tblWaste[View date],"&lt;"&amp;EDATE($B$59,1)))/(SUMIFS(tblWaste[Weight (kg)],tblWaste[View date],"&gt;="&amp;$B$59,tblWaste[View date],"&lt;"&amp;EDATE($B$59,1)))))</f>
        <v>0.63545719844358</v>
      </c>
      <c r="H59" s="55">
        <f>IF($B$59="","",SUMIFS(tblWaste[Net cost],tblWaste[View date],"&gt;="&amp;$B$59,tblWaste[View date],"&lt;"&amp;EDATE($B$59,1)))</f>
        <v>758.99</v>
      </c>
      <c r="I59" s="56">
        <f>TargetDiv</f>
        <v>0.8</v>
      </c>
    </row>
    <row r="60" spans="2:9" x14ac:dyDescent="0.25">
      <c r="B60" s="53">
        <f>IF($B$61="","",IF(EDATE($B$61,-1)&lt;DATE(YEAR(MIN(tblWaste[View date])),MONTH(MIN(tblWaste[View date])),1),"",EDATE($B$61,-1)))</f>
        <v>46113</v>
      </c>
      <c r="C60" s="37">
        <f>IF($B$60="","",SUMIFS(tblWaste[Weight (kg)],tblWaste[View date],"&gt;="&amp;$B$60,tblWaste[View date],"&lt;"&amp;EDATE($B$60,1))/KgPerUnit)</f>
        <v>37.64</v>
      </c>
      <c r="D60" s="37">
        <f>IF($B$60="","",SUMIFS(tblWaste[Weight (kg)],tblWaste[Class],"Material recovery",tblWaste[View date],"&gt;="&amp;$B$60,tblWaste[View date],"&lt;"&amp;EDATE($B$60,1))/KgPerUnit)</f>
        <v>29.87</v>
      </c>
      <c r="E60" s="37">
        <f>IF($B$60="","",SUMIFS(tblWaste[Weight (kg)],tblWaste[Class],"Energy recovery",tblWaste[View date],"&gt;="&amp;$B$60,tblWaste[View date],"&lt;"&amp;EDATE($B$60,1))/KgPerUnit)</f>
        <v>0</v>
      </c>
      <c r="F60" s="37">
        <f>IF($B$60="","",SUMIFS(tblWaste[Weight (kg)],tblWaste[Class],"Disposal",tblWaste[View date],"&gt;="&amp;$B$60,tblWaste[View date],"&lt;"&amp;EDATE($B$60,1))/KgPerUnit)</f>
        <v>7.77</v>
      </c>
      <c r="G60" s="54">
        <f>IF($B$60="","",IF((SUMIFS(tblWaste[Weight (kg)],tblWaste[View date],"&gt;="&amp;$B$60,tblWaste[View date],"&lt;"&amp;EDATE($B$60,1)))=0,"",(SUMIFS(tblWaste[Diverted (kg)],tblWaste[View date],"&gt;="&amp;$B$60,tblWaste[View date],"&lt;"&amp;EDATE($B$60,1)))/(SUMIFS(tblWaste[Weight (kg)],tblWaste[View date],"&gt;="&amp;$B$60,tblWaste[View date],"&lt;"&amp;EDATE($B$60,1)))))</f>
        <v>0.793570669500531</v>
      </c>
      <c r="H60" s="55">
        <f>IF($B$60="","",SUMIFS(tblWaste[Net cost],tblWaste[View date],"&gt;="&amp;$B$60,tblWaste[View date],"&lt;"&amp;EDATE($B$60,1)))</f>
        <v>-250.35</v>
      </c>
      <c r="I60" s="56">
        <f>TargetDiv</f>
        <v>0.8</v>
      </c>
    </row>
    <row r="61" spans="2:9" x14ac:dyDescent="0.25">
      <c r="B61" s="53">
        <f>IF($B$62="","",IF(EDATE($B$62,-1)&lt;DATE(YEAR(MIN(tblWaste[View date])),MONTH(MIN(tblWaste[View date])),1),"",EDATE($B$62,-1)))</f>
        <v>46143</v>
      </c>
      <c r="C61" s="37">
        <f>IF($B$61="","",SUMIFS(tblWaste[Weight (kg)],tblWaste[View date],"&gt;="&amp;$B$61,tblWaste[View date],"&lt;"&amp;EDATE($B$61,1))/KgPerUnit)</f>
        <v>39.72</v>
      </c>
      <c r="D61" s="37">
        <f>IF($B$61="","",SUMIFS(tblWaste[Weight (kg)],tblWaste[Class],"Material recovery",tblWaste[View date],"&gt;="&amp;$B$61,tblWaste[View date],"&lt;"&amp;EDATE($B$61,1))/KgPerUnit)</f>
        <v>29.8</v>
      </c>
      <c r="E61" s="37">
        <f>IF($B$61="","",SUMIFS(tblWaste[Weight (kg)],tblWaste[Class],"Energy recovery",tblWaste[View date],"&gt;="&amp;$B$61,tblWaste[View date],"&lt;"&amp;EDATE($B$61,1))/KgPerUnit)</f>
        <v>1.49</v>
      </c>
      <c r="F61" s="37">
        <f>IF($B$61="","",SUMIFS(tblWaste[Weight (kg)],tblWaste[Class],"Disposal",tblWaste[View date],"&gt;="&amp;$B$61,tblWaste[View date],"&lt;"&amp;EDATE($B$61,1))/KgPerUnit)</f>
        <v>8.43</v>
      </c>
      <c r="G61" s="54">
        <f>IF($B$61="","",IF((SUMIFS(tblWaste[Weight (kg)],tblWaste[View date],"&gt;="&amp;$B$61,tblWaste[View date],"&lt;"&amp;EDATE($B$61,1)))=0,"",(SUMIFS(tblWaste[Diverted (kg)],tblWaste[View date],"&gt;="&amp;$B$61,tblWaste[View date],"&lt;"&amp;EDATE($B$61,1)))/(SUMIFS(tblWaste[Weight (kg)],tblWaste[View date],"&gt;="&amp;$B$61,tblWaste[View date],"&lt;"&amp;EDATE($B$61,1)))))</f>
        <v>0.787764350453172</v>
      </c>
      <c r="H61" s="55">
        <f>IF($B$61="","",SUMIFS(tblWaste[Net cost],tblWaste[View date],"&gt;="&amp;$B$61,tblWaste[View date],"&lt;"&amp;EDATE($B$61,1)))</f>
        <v>770.14</v>
      </c>
      <c r="I61" s="56">
        <f>TargetDiv</f>
        <v>0.8</v>
      </c>
    </row>
    <row r="62" spans="2:9" x14ac:dyDescent="0.25">
      <c r="B62" s="53">
        <f>IF($B$63="","",IF(EDATE($B$63,-1)&lt;DATE(YEAR(MIN(tblWaste[View date])),MONTH(MIN(tblWaste[View date])),1),"",EDATE($B$63,-1)))</f>
        <v>46174</v>
      </c>
      <c r="C62" s="37">
        <f>IF($B$62="","",SUMIFS(tblWaste[Weight (kg)],tblWaste[View date],"&gt;="&amp;$B$62,tblWaste[View date],"&lt;"&amp;EDATE($B$62,1))/KgPerUnit)</f>
        <v>39.89</v>
      </c>
      <c r="D62" s="37">
        <f>IF($B$62="","",SUMIFS(tblWaste[Weight (kg)],tblWaste[Class],"Material recovery",tblWaste[View date],"&gt;="&amp;$B$62,tblWaste[View date],"&lt;"&amp;EDATE($B$62,1))/KgPerUnit)</f>
        <v>32.61</v>
      </c>
      <c r="E62" s="37">
        <f>IF($B$62="","",SUMIFS(tblWaste[Weight (kg)],tblWaste[Class],"Energy recovery",tblWaste[View date],"&gt;="&amp;$B$62,tblWaste[View date],"&lt;"&amp;EDATE($B$62,1))/KgPerUnit)</f>
        <v>0</v>
      </c>
      <c r="F62" s="37">
        <f>IF($B$62="","",SUMIFS(tblWaste[Weight (kg)],tblWaste[Class],"Disposal",tblWaste[View date],"&gt;="&amp;$B$62,tblWaste[View date],"&lt;"&amp;EDATE($B$62,1))/KgPerUnit)</f>
        <v>7.28</v>
      </c>
      <c r="G62" s="54">
        <f>IF($B$62="","",IF((SUMIFS(tblWaste[Weight (kg)],tblWaste[View date],"&gt;="&amp;$B$62,tblWaste[View date],"&lt;"&amp;EDATE($B$62,1)))=0,"",(SUMIFS(tblWaste[Diverted (kg)],tblWaste[View date],"&gt;="&amp;$B$62,tblWaste[View date],"&lt;"&amp;EDATE($B$62,1)))/(SUMIFS(tblWaste[Weight (kg)],tblWaste[View date],"&gt;="&amp;$B$62,tblWaste[View date],"&lt;"&amp;EDATE($B$62,1)))))</f>
        <v>0.817498119829531</v>
      </c>
      <c r="H62" s="55">
        <f>IF($B$62="","",SUMIFS(tblWaste[Net cost],tblWaste[View date],"&gt;="&amp;$B$62,tblWaste[View date],"&lt;"&amp;EDATE($B$62,1)))</f>
        <v>-507.85</v>
      </c>
      <c r="I62" s="56">
        <f>TargetDiv</f>
        <v>0.8</v>
      </c>
    </row>
    <row r="63" spans="2:9" x14ac:dyDescent="0.25">
      <c r="B63" s="53">
        <f>IF($B$64="","",IF(EDATE($B$64,-1)&lt;DATE(YEAR(MIN(tblWaste[View date])),MONTH(MIN(tblWaste[View date])),1),"",EDATE($B$64,-1)))</f>
        <v>46204</v>
      </c>
      <c r="C63" s="37">
        <f>IF($B$63="","",SUMIFS(tblWaste[Weight (kg)],tblWaste[View date],"&gt;="&amp;$B$63,tblWaste[View date],"&lt;"&amp;EDATE($B$63,1))/KgPerUnit)</f>
        <v>38.66</v>
      </c>
      <c r="D63" s="37">
        <f>IF($B$63="","",SUMIFS(tblWaste[Weight (kg)],tblWaste[Class],"Material recovery",tblWaste[View date],"&gt;="&amp;$B$63,tblWaste[View date],"&lt;"&amp;EDATE($B$63,1))/KgPerUnit)</f>
        <v>30.83</v>
      </c>
      <c r="E63" s="37">
        <f>IF($B$63="","",SUMIFS(tblWaste[Weight (kg)],tblWaste[Class],"Energy recovery",tblWaste[View date],"&gt;="&amp;$B$63,tblWaste[View date],"&lt;"&amp;EDATE($B$63,1))/KgPerUnit)</f>
        <v>0</v>
      </c>
      <c r="F63" s="37">
        <f>IF($B$63="","",SUMIFS(tblWaste[Weight (kg)],tblWaste[Class],"Disposal",tblWaste[View date],"&gt;="&amp;$B$63,tblWaste[View date],"&lt;"&amp;EDATE($B$63,1))/KgPerUnit)</f>
        <v>7.83</v>
      </c>
      <c r="G63" s="54">
        <f>IF($B$63="","",IF((SUMIFS(tblWaste[Weight (kg)],tblWaste[View date],"&gt;="&amp;$B$63,tblWaste[View date],"&lt;"&amp;EDATE($B$63,1)))=0,"",(SUMIFS(tblWaste[Diverted (kg)],tblWaste[View date],"&gt;="&amp;$B$63,tblWaste[View date],"&lt;"&amp;EDATE($B$63,1)))/(SUMIFS(tblWaste[Weight (kg)],tblWaste[View date],"&gt;="&amp;$B$63,tblWaste[View date],"&lt;"&amp;EDATE($B$63,1)))))</f>
        <v>0.797465080186239</v>
      </c>
      <c r="H63" s="55">
        <f>IF($B$63="","",SUMIFS(tblWaste[Net cost],tblWaste[View date],"&gt;="&amp;$B$63,tblWaste[View date],"&lt;"&amp;EDATE($B$63,1)))</f>
        <v>-379.2</v>
      </c>
      <c r="I63" s="56">
        <f>TargetDiv</f>
        <v>0.8</v>
      </c>
    </row>
    <row r="64" spans="2:9" x14ac:dyDescent="0.25">
      <c r="B64" s="53">
        <f>IF($B$65="","",IF(EDATE($B$65,-1)&lt;DATE(YEAR(MIN(tblWaste[View date])),MONTH(MIN(tblWaste[View date])),1),"",EDATE($B$65,-1)))</f>
        <v>46235</v>
      </c>
      <c r="C64" s="37">
        <f>IF($B$64="","",SUMIFS(tblWaste[Weight (kg)],tblWaste[View date],"&gt;="&amp;$B$64,tblWaste[View date],"&lt;"&amp;EDATE($B$64,1))/KgPerUnit)</f>
        <v>38.3</v>
      </c>
      <c r="D64" s="37">
        <f>IF($B$64="","",SUMIFS(tblWaste[Weight (kg)],tblWaste[Class],"Material recovery",tblWaste[View date],"&gt;="&amp;$B$64,tblWaste[View date],"&lt;"&amp;EDATE($B$64,1))/KgPerUnit)</f>
        <v>29.71</v>
      </c>
      <c r="E64" s="37">
        <f>IF($B$64="","",SUMIFS(tblWaste[Weight (kg)],tblWaste[Class],"Energy recovery",tblWaste[View date],"&gt;="&amp;$B$64,tblWaste[View date],"&lt;"&amp;EDATE($B$64,1))/KgPerUnit)</f>
        <v>1.36</v>
      </c>
      <c r="F64" s="37">
        <f>IF($B$64="","",SUMIFS(tblWaste[Weight (kg)],tblWaste[Class],"Disposal",tblWaste[View date],"&gt;="&amp;$B$64,tblWaste[View date],"&lt;"&amp;EDATE($B$64,1))/KgPerUnit)</f>
        <v>7.23</v>
      </c>
      <c r="G64" s="54">
        <f>IF($B$64="","",IF((SUMIFS(tblWaste[Weight (kg)],tblWaste[View date],"&gt;="&amp;$B$64,tblWaste[View date],"&lt;"&amp;EDATE($B$64,1)))=0,"",(SUMIFS(tblWaste[Diverted (kg)],tblWaste[View date],"&gt;="&amp;$B$64,tblWaste[View date],"&lt;"&amp;EDATE($B$64,1)))/(SUMIFS(tblWaste[Weight (kg)],tblWaste[View date],"&gt;="&amp;$B$64,tblWaste[View date],"&lt;"&amp;EDATE($B$64,1)))))</f>
        <v>0.811227154046997</v>
      </c>
      <c r="H64" s="55">
        <f>IF($B$64="","",SUMIFS(tblWaste[Net cost],tblWaste[View date],"&gt;="&amp;$B$64,tblWaste[View date],"&lt;"&amp;EDATE($B$64,1)))</f>
        <v>545.03</v>
      </c>
      <c r="I64" s="56">
        <f>TargetDiv</f>
        <v>0.8</v>
      </c>
    </row>
    <row r="65" spans="2:43" x14ac:dyDescent="0.25">
      <c r="B65" s="53">
        <f>IF(COUNT(tblWaste[View date])=0,"",DATE(YEAR(MAX(tblWaste[View date])),MONTH(MAX(tblWaste[View date])),1))</f>
        <v>46266</v>
      </c>
      <c r="C65" s="37">
        <f>IF($B$65="","",SUMIFS(tblWaste[Weight (kg)],tblWaste[View date],"&gt;="&amp;$B$65,tblWaste[View date],"&lt;"&amp;EDATE($B$65,1))/KgPerUnit)</f>
        <v>38.04</v>
      </c>
      <c r="D65" s="37">
        <f>IF($B$65="","",SUMIFS(tblWaste[Weight (kg)],tblWaste[Class],"Material recovery",tblWaste[View date],"&gt;="&amp;$B$65,tblWaste[View date],"&lt;"&amp;EDATE($B$65,1))/KgPerUnit)</f>
        <v>30.51</v>
      </c>
      <c r="E65" s="37">
        <f>IF($B$65="","",SUMIFS(tblWaste[Weight (kg)],tblWaste[Class],"Energy recovery",tblWaste[View date],"&gt;="&amp;$B$65,tblWaste[View date],"&lt;"&amp;EDATE($B$65,1))/KgPerUnit)</f>
        <v>0</v>
      </c>
      <c r="F65" s="37">
        <f>IF($B$65="","",SUMIFS(tblWaste[Weight (kg)],tblWaste[Class],"Disposal",tblWaste[View date],"&gt;="&amp;$B$65,tblWaste[View date],"&lt;"&amp;EDATE($B$65,1))/KgPerUnit)</f>
        <v>7.53</v>
      </c>
      <c r="G65" s="54">
        <f>IF($B$65="","",IF((SUMIFS(tblWaste[Weight (kg)],tblWaste[View date],"&gt;="&amp;$B$65,tblWaste[View date],"&lt;"&amp;EDATE($B$65,1)))=0,"",(SUMIFS(tblWaste[Diverted (kg)],tblWaste[View date],"&gt;="&amp;$B$65,tblWaste[View date],"&lt;"&amp;EDATE($B$65,1)))/(SUMIFS(tblWaste[Weight (kg)],tblWaste[View date],"&gt;="&amp;$B$65,tblWaste[View date],"&lt;"&amp;EDATE($B$65,1)))))</f>
        <v>0.80205047318612</v>
      </c>
      <c r="H65" s="55">
        <f>IF($B$65="","",SUMIFS(tblWaste[Net cost],tblWaste[View date],"&gt;="&amp;$B$65,tblWaste[View date],"&lt;"&amp;EDATE($B$65,1)))</f>
        <v>-349.63</v>
      </c>
      <c r="I65" s="56">
        <f>TargetDiv</f>
        <v>0.8</v>
      </c>
    </row>
    <row r="67" spans="2:43" x14ac:dyDescent="0.25">
      <c r="B67" s="31" t="s">
        <v>339</v>
      </c>
      <c r="C67" s="31"/>
      <c r="D67" s="31"/>
      <c r="E67" s="31"/>
      <c r="F67" s="31"/>
      <c r="G67" s="31"/>
      <c r="H67" s="31"/>
      <c r="I67" s="31"/>
    </row>
    <row r="68" spans="2:43" ht="32" customHeight="1" x14ac:dyDescent="0.25">
      <c r="B68" s="52" t="s">
        <v>60</v>
      </c>
      <c r="C68" s="32" t="s">
        <v>122</v>
      </c>
      <c r="D68" s="32" t="s">
        <v>340</v>
      </c>
      <c r="E68" s="32" t="s">
        <v>341</v>
      </c>
      <c r="F68" s="32" t="s">
        <v>336</v>
      </c>
      <c r="G68" s="32" t="s">
        <v>342</v>
      </c>
      <c r="H68" s="32" t="s">
        <v>343</v>
      </c>
      <c r="I68" s="32" t="s">
        <v>128</v>
      </c>
    </row>
    <row r="69" spans="2:43" ht="14" customHeight="1" x14ac:dyDescent="0.25">
      <c r="B69" s="34"/>
      <c r="C69" s="34" t="str">
        <f>ReportUnit</f>
        <v>t</v>
      </c>
      <c r="D69" s="34" t="str">
        <f>ReportUnit</f>
        <v>t</v>
      </c>
      <c r="E69" s="34" t="str">
        <f>ReportUnit</f>
        <v>t</v>
      </c>
      <c r="F69" s="34" t="s">
        <v>338</v>
      </c>
      <c r="G69" s="34" t="str">
        <f>Currency</f>
        <v>USD</v>
      </c>
      <c r="H69" s="34" t="str">
        <f>Currency</f>
        <v>USD</v>
      </c>
      <c r="I69" s="34" t="str">
        <f>Currency</f>
        <v>USD</v>
      </c>
    </row>
    <row r="70" spans="2:43" x14ac:dyDescent="0.25">
      <c r="B70" s="57" t="str">
        <f>IFERROR(INDEX(tblStreams[Stream],1)&amp;"","")</f>
        <v>Corrugated offcuts</v>
      </c>
      <c r="C70" s="37">
        <f>IF($B$70="","",SUMIFS(tblWaste[Weight (kg)],tblWaste[Stream],$B$70,tblWaste[View date],"&gt;0")/KgPerUnit)</f>
        <v>251.59</v>
      </c>
      <c r="D70" s="37">
        <f>IF($B$70="","",SUMIFS(tblWaste[Diverted (kg)],tblWaste[Stream],$B$70,tblWaste[View date],"&gt;0")/KgPerUnit)</f>
        <v>251.59</v>
      </c>
      <c r="E70" s="37">
        <f>IF($B$70="","",$C$70-$D$70)</f>
        <v>0</v>
      </c>
      <c r="F70" s="54">
        <f>IF($B$70="","",IF(($C$70)=0,"",($D$70)/($C$70)))</f>
        <v>1</v>
      </c>
      <c r="G70" s="55">
        <f>IF($B$70="","",SUMIFS(tblWaste[Charge],tblWaste[Stream],$B$70,tblWaste[View date],"&gt;0"))</f>
        <v>0</v>
      </c>
      <c r="H70" s="55">
        <f>IF($B$70="","",SUMIFS(tblWaste[Rebate],tblWaste[Stream],$B$70,tblWaste[View date],"&gt;0"))</f>
        <v>15598.58</v>
      </c>
      <c r="I70" s="55">
        <f>IF($B$70="","",SUMIFS(tblWaste[Net cost],tblWaste[Stream],$B$70,tblWaste[View date],"&gt;0"))</f>
        <v>-15598.58</v>
      </c>
    </row>
    <row r="71" spans="2:43" x14ac:dyDescent="0.25">
      <c r="B71" s="57" t="str">
        <f>IFERROR(INDEX(tblStreams[Stream],2)&amp;"","")</f>
        <v>Paper cores and tubes</v>
      </c>
      <c r="C71" s="37">
        <f>IF($B$71="","",SUMIFS(tblWaste[Weight (kg)],tblWaste[Stream],$B$71,tblWaste[View date],"&gt;0")/KgPerUnit)</f>
        <v>10.41</v>
      </c>
      <c r="D71" s="37">
        <f>IF($B$71="","",SUMIFS(tblWaste[Diverted (kg)],tblWaste[Stream],$B$71,tblWaste[View date],"&gt;0")/KgPerUnit)</f>
        <v>10.41</v>
      </c>
      <c r="E71" s="37">
        <f>IF($B$71="","",$C$71-$D$71)</f>
        <v>0</v>
      </c>
      <c r="F71" s="54">
        <f>IF($B$71="","",IF(($C$71)=0,"",($D$71)/($C$71)))</f>
        <v>1</v>
      </c>
      <c r="G71" s="55">
        <f>IF($B$71="","",SUMIFS(tblWaste[Charge],tblWaste[Stream],$B$71,tblWaste[View date],"&gt;0"))</f>
        <v>0</v>
      </c>
      <c r="H71" s="55">
        <f>IF($B$71="","",SUMIFS(tblWaste[Rebate],tblWaste[Stream],$B$71,tblWaste[View date],"&gt;0"))</f>
        <v>208.2</v>
      </c>
      <c r="I71" s="55">
        <f>IF($B$71="","",SUMIFS(tblWaste[Net cost],tblWaste[Stream],$B$71,tblWaste[View date],"&gt;0"))</f>
        <v>-208.2</v>
      </c>
    </row>
    <row r="72" spans="2:43" x14ac:dyDescent="0.25">
      <c r="B72" s="57" t="str">
        <f>IFERROR(INDEX(tblStreams[Stream],3)&amp;"","")</f>
        <v>Plastic film scrap</v>
      </c>
      <c r="C72" s="37">
        <f>IF($B$72="","",SUMIFS(tblWaste[Weight (kg)],tblWaste[Stream],$B$72,tblWaste[View date],"&gt;0")/KgPerUnit)</f>
        <v>61.98</v>
      </c>
      <c r="D72" s="37">
        <f>IF($B$72="","",SUMIFS(tblWaste[Diverted (kg)],tblWaste[Stream],$B$72,tblWaste[View date],"&gt;0")/KgPerUnit)</f>
        <v>31.68</v>
      </c>
      <c r="E72" s="37">
        <f>IF($B$72="","",$C$72-$D$72)</f>
        <v>30.3</v>
      </c>
      <c r="F72" s="54">
        <f>IF($B$72="","",IF(($C$72)=0,"",($D$72)/($C$72)))</f>
        <v>0.511132623426912</v>
      </c>
      <c r="G72" s="55">
        <f>IF($B$72="","",SUMIFS(tblWaste[Charge],tblWaste[Stream],$B$72,tblWaste[View date],"&gt;0"))</f>
        <v>4115.4</v>
      </c>
      <c r="H72" s="55">
        <f>IF($B$72="","",SUMIFS(tblWaste[Rebate],tblWaste[Stream],$B$72,tblWaste[View date],"&gt;0"))</f>
        <v>1267.2</v>
      </c>
      <c r="I72" s="55">
        <f>IF($B$72="","",SUMIFS(tblWaste[Net cost],tblWaste[Stream],$B$72,tblWaste[View date],"&gt;0"))</f>
        <v>2848.2</v>
      </c>
    </row>
    <row r="73" spans="2:43" x14ac:dyDescent="0.25">
      <c r="B73" s="57" t="str">
        <f>IFERROR(INDEX(tblStreams[Stream],4)&amp;"","")</f>
        <v>Wood pallets</v>
      </c>
      <c r="C73" s="37">
        <f>IF($B$73="","",SUMIFS(tblWaste[Weight (kg)],tblWaste[Stream],$B$73,tblWaste[View date],"&gt;0")/KgPerUnit)</f>
        <v>21.88</v>
      </c>
      <c r="D73" s="37">
        <f>IF($B$73="","",SUMIFS(tblWaste[Diverted (kg)],tblWaste[Stream],$B$73,tblWaste[View date],"&gt;0")/KgPerUnit)</f>
        <v>21.88</v>
      </c>
      <c r="E73" s="37">
        <f>IF($B$73="","",$C$73-$D$73)</f>
        <v>0</v>
      </c>
      <c r="F73" s="54">
        <f>IF($B$73="","",IF(($C$73)=0,"",($D$73)/($C$73)))</f>
        <v>1</v>
      </c>
      <c r="G73" s="55">
        <f>IF($B$73="","",SUMIFS(tblWaste[Charge],tblWaste[Stream],$B$73,tblWaste[View date],"&gt;0"))</f>
        <v>1305.8</v>
      </c>
      <c r="H73" s="55">
        <f>IF($B$73="","",SUMIFS(tblWaste[Rebate],tblWaste[Stream],$B$73,tblWaste[View date],"&gt;0"))</f>
        <v>0</v>
      </c>
      <c r="I73" s="55">
        <f>IF($B$73="","",SUMIFS(tblWaste[Net cost],tblWaste[Stream],$B$73,tblWaste[View date],"&gt;0"))</f>
        <v>1305.8</v>
      </c>
    </row>
    <row r="74" spans="2:43" x14ac:dyDescent="0.25">
      <c r="B74" s="57" t="str">
        <f>IFERROR(INDEX(tblStreams[Stream],5)&amp;"","")</f>
        <v>Steel strapping and scrap</v>
      </c>
      <c r="C74" s="37">
        <f>IF($B$74="","",SUMIFS(tblWaste[Weight (kg)],tblWaste[Stream],$B$74,tblWaste[View date],"&gt;0")/KgPerUnit)</f>
        <v>12.9</v>
      </c>
      <c r="D74" s="37">
        <f>IF($B$74="","",SUMIFS(tblWaste[Diverted (kg)],tblWaste[Stream],$B$74,tblWaste[View date],"&gt;0")/KgPerUnit)</f>
        <v>12.9</v>
      </c>
      <c r="E74" s="37">
        <f>IF($B$74="","",$C$74-$D$74)</f>
        <v>0</v>
      </c>
      <c r="F74" s="54">
        <f>IF($B$74="","",IF(($C$74)=0,"",($D$74)/($C$74)))</f>
        <v>1</v>
      </c>
      <c r="G74" s="55">
        <f>IF($B$74="","",SUMIFS(tblWaste[Charge],tblWaste[Stream],$B$74,tblWaste[View date],"&gt;0"))</f>
        <v>0</v>
      </c>
      <c r="H74" s="55">
        <f>IF($B$74="","",SUMIFS(tblWaste[Rebate],tblWaste[Stream],$B$74,tblWaste[View date],"&gt;0"))</f>
        <v>1870.5</v>
      </c>
      <c r="I74" s="55">
        <f>IF($B$74="","",SUMIFS(tblWaste[Net cost],tblWaste[Stream],$B$74,tblWaste[View date],"&gt;0"))</f>
        <v>-1870.5</v>
      </c>
    </row>
    <row r="75" spans="2:43" x14ac:dyDescent="0.25">
      <c r="B75" s="57" t="str">
        <f>IFERROR(INDEX(tblStreams[Stream],6)&amp;"","")</f>
        <v>Canteen food waste</v>
      </c>
      <c r="C75" s="37">
        <f>IF($B$75="","",SUMIFS(tblWaste[Weight (kg)],tblWaste[Stream],$B$75,tblWaste[View date],"&gt;0")/KgPerUnit)</f>
        <v>6.46</v>
      </c>
      <c r="D75" s="37">
        <f>IF($B$75="","",SUMIFS(tblWaste[Diverted (kg)],tblWaste[Stream],$B$75,tblWaste[View date],"&gt;0")/KgPerUnit)</f>
        <v>6.46</v>
      </c>
      <c r="E75" s="37">
        <f>IF($B$75="","",$C$75-$D$75)</f>
        <v>0</v>
      </c>
      <c r="F75" s="54">
        <f>IF($B$75="","",IF(($C$75)=0,"",($D$75)/($C$75)))</f>
        <v>1</v>
      </c>
      <c r="G75" s="55">
        <f>IF($B$75="","",SUMIFS(tblWaste[Charge],tblWaste[Stream],$B$75,tblWaste[View date],"&gt;0"))</f>
        <v>1693.7</v>
      </c>
      <c r="H75" s="55">
        <f>IF($B$75="","",SUMIFS(tblWaste[Rebate],tblWaste[Stream],$B$75,tblWaste[View date],"&gt;0"))</f>
        <v>0</v>
      </c>
      <c r="I75" s="55">
        <f>IF($B$75="","",SUMIFS(tblWaste[Net cost],tblWaste[Stream],$B$75,tblWaste[View date],"&gt;0"))</f>
        <v>1693.7</v>
      </c>
    </row>
    <row r="76" spans="2:43" x14ac:dyDescent="0.25">
      <c r="B76" s="57" t="str">
        <f>IFERROR(INDEX(tblStreams[Stream],7)&amp;"","")</f>
        <v>Ink and solvent waste</v>
      </c>
      <c r="C76" s="37">
        <f>IF($B$76="","",SUMIFS(tblWaste[Weight (kg)],tblWaste[Stream],$B$76,tblWaste[View date],"&gt;0")/KgPerUnit)</f>
        <v>5.86</v>
      </c>
      <c r="D76" s="37">
        <f>IF($B$76="","",SUMIFS(tblWaste[Diverted (kg)],tblWaste[Stream],$B$76,tblWaste[View date],"&gt;0")/KgPerUnit)</f>
        <v>5.86</v>
      </c>
      <c r="E76" s="37">
        <f>IF($B$76="","",$C$76-$D$76)</f>
        <v>0</v>
      </c>
      <c r="F76" s="54">
        <f>IF($B$76="","",IF(($C$76)=0,"",($D$76)/($C$76)))</f>
        <v>1</v>
      </c>
      <c r="G76" s="55">
        <f>IF($B$76="","",SUMIFS(tblWaste[Charge],tblWaste[Stream],$B$76,tblWaste[View date],"&gt;0"))</f>
        <v>3930.4</v>
      </c>
      <c r="H76" s="55">
        <f>IF($B$76="","",SUMIFS(tblWaste[Rebate],tblWaste[Stream],$B$76,tblWaste[View date],"&gt;0"))</f>
        <v>0</v>
      </c>
      <c r="I76" s="55">
        <f>IF($B$76="","",SUMIFS(tblWaste[Net cost],tblWaste[Stream],$B$76,tblWaste[View date],"&gt;0"))</f>
        <v>3930.4</v>
      </c>
    </row>
    <row r="77" spans="2:43" x14ac:dyDescent="0.25">
      <c r="B77" s="57" t="str">
        <f>IFERROR(INDEX(tblStreams[Stream],8)&amp;"","")</f>
        <v>General waste</v>
      </c>
      <c r="C77" s="37">
        <f>IF($B$77="","",SUMIFS(tblWaste[Weight (kg)],tblWaste[Stream],$B$77,tblWaste[View date],"&gt;0")/KgPerUnit)</f>
        <v>102.72</v>
      </c>
      <c r="D77" s="37">
        <f>IF($B$77="","",SUMIFS(tblWaste[Diverted (kg)],tblWaste[Stream],$B$77,tblWaste[View date],"&gt;0")/KgPerUnit)</f>
        <v>0</v>
      </c>
      <c r="E77" s="37">
        <f>IF($B$77="","",$C$77-$D$77)</f>
        <v>102.72</v>
      </c>
      <c r="F77" s="54">
        <f>IF($B$77="","",IF(($C$77)=0,"",($D$77)/($C$77)))</f>
        <v>0</v>
      </c>
      <c r="G77" s="55">
        <f>IF($B$77="","",SUMIFS(tblWaste[Charge],tblWaste[Stream],$B$77,tblWaste[View date],"&gt;0"))</f>
        <v>14280.96</v>
      </c>
      <c r="H77" s="55">
        <f>IF($B$77="","",SUMIFS(tblWaste[Rebate],tblWaste[Stream],$B$77,tblWaste[View date],"&gt;0"))</f>
        <v>0</v>
      </c>
      <c r="I77" s="55">
        <f>IF($B$77="","",SUMIFS(tblWaste[Net cost],tblWaste[Stream],$B$77,tblWaste[View date],"&gt;0"))</f>
        <v>14280.96</v>
      </c>
    </row>
    <row r="79" spans="2:43" x14ac:dyDescent="0.25">
      <c r="B79" s="31" t="s">
        <v>344</v>
      </c>
      <c r="C79" s="31"/>
      <c r="D79" s="31"/>
      <c r="E79" s="31"/>
      <c r="F79" s="31"/>
      <c r="G79" s="31" t="s">
        <v>345</v>
      </c>
      <c r="H79" s="31"/>
      <c r="I79" s="31"/>
      <c r="J79" s="31"/>
      <c r="K79" s="31"/>
    </row>
    <row r="80" spans="2:43" ht="20" customHeight="1" x14ac:dyDescent="0.25">
      <c r="B80" s="52" t="s">
        <v>64</v>
      </c>
      <c r="C80" s="32" t="s">
        <v>122</v>
      </c>
      <c r="D80" s="32"/>
      <c r="E80" s="32" t="s">
        <v>346</v>
      </c>
      <c r="F80" s="32"/>
      <c r="G80" s="32" t="s">
        <v>347</v>
      </c>
      <c r="H80" s="52" t="s">
        <v>60</v>
      </c>
      <c r="I80" s="32" t="s">
        <v>122</v>
      </c>
      <c r="J80" s="32" t="s">
        <v>346</v>
      </c>
      <c r="K80" s="32" t="s">
        <v>348</v>
      </c>
      <c r="AO80" s="7" t="s">
        <v>349</v>
      </c>
      <c r="AP80" s="7" t="s">
        <v>350</v>
      </c>
      <c r="AQ80" s="7" t="s">
        <v>351</v>
      </c>
    </row>
    <row r="81" spans="2:43" ht="14" customHeight="1" x14ac:dyDescent="0.25">
      <c r="B81" s="34"/>
      <c r="C81" s="34" t="str">
        <f>ReportUnit</f>
        <v>t</v>
      </c>
      <c r="D81" s="34"/>
      <c r="E81" s="34" t="s">
        <v>338</v>
      </c>
      <c r="F81" s="34"/>
      <c r="G81" s="34"/>
      <c r="H81" s="34"/>
      <c r="I81" s="34" t="str">
        <f>ReportUnit</f>
        <v>t</v>
      </c>
      <c r="J81" s="34" t="s">
        <v>338</v>
      </c>
      <c r="K81" s="34" t="s">
        <v>338</v>
      </c>
    </row>
    <row r="82" spans="2:43" x14ac:dyDescent="0.25">
      <c r="B82" s="57" t="str">
        <f>IFERROR(INDEX(tblRoutes[Route],1)&amp;"","")</f>
        <v>Reuse</v>
      </c>
      <c r="C82" s="37">
        <f>IF($B$82="","",SUMIFS(tblWaste[Weight (kg)],tblWaste[Route],$B$82,tblWaste[View date],"&gt;0")/KgPerUnit)</f>
        <v>16.52</v>
      </c>
      <c r="D82" s="37"/>
      <c r="E82" s="54">
        <f>IF($B$82="","",IF((SUMIFS(tblWaste[Weight (kg)],tblWaste[View date],"&gt;0"))=0,"",(SUMIFS(tblWaste[Weight (kg)],tblWaste[Route],$B$82,tblWaste[View date],"&gt;0"))/(SUMIFS(tblWaste[Weight (kg)],tblWaste[View date],"&gt;0"))))</f>
        <v>0.0348670325031659</v>
      </c>
      <c r="F82" s="54"/>
      <c r="G82" s="58">
        <v>1</v>
      </c>
      <c r="H82" s="38" t="str">
        <f>IF(INDEX($AP$82:$AP$89,MATCH(1,$AQ$82:$AQ$89,0))&lt;0,"",INDEX($AO$82:$AO$89,MATCH(1,$AQ$82:$AQ$89,0)))</f>
        <v>Corrugated offcuts</v>
      </c>
      <c r="I82" s="37">
        <f>IF($H$82="","",INDEX($AP$82:$AP$89,MATCH(1,$AQ$82:$AQ$89,0)))</f>
        <v>251.59</v>
      </c>
      <c r="J82" s="54">
        <f>IF(OR($H$82="",$I$90=0),"",$I$82/$I$90)</f>
        <v>0.531004643309413</v>
      </c>
      <c r="K82" s="54">
        <f>IF(OR($H$82="",$I$90=0),"",SUM($I$82:$I$82)/$I$90)</f>
        <v>0.531004643309413</v>
      </c>
      <c r="AO82" s="11" t="str">
        <f>IFERROR(INDEX(tblStreams[Stream],1)&amp;"","")</f>
        <v>Corrugated offcuts</v>
      </c>
      <c r="AP82" s="59">
        <f>IF($AO$82="",-1,SUMIFS(tblWaste[Weight (kg)],tblWaste[Stream],$AO$82,tblWaste[View date],"&gt;0")/KgPerUnit)</f>
        <v>251.59</v>
      </c>
      <c r="AQ82" s="60">
        <f>COUNTIF($AP$82:$AP$89,"&gt;"&amp;$AP$82)+COUNTIF($AP$82:$AP$82,$AP$82)</f>
        <v>1</v>
      </c>
    </row>
    <row r="83" spans="2:43" x14ac:dyDescent="0.25">
      <c r="B83" s="57" t="str">
        <f>IFERROR(INDEX(tblRoutes[Route],2)&amp;"","")</f>
        <v>Recycling</v>
      </c>
      <c r="C83" s="37">
        <f>IF($B$83="","",SUMIFS(tblWaste[Weight (kg)],tblWaste[Route],$B$83,tblWaste[View date],"&gt;0")/KgPerUnit)</f>
        <v>311.94</v>
      </c>
      <c r="D83" s="37"/>
      <c r="E83" s="54">
        <f>IF($B$83="","",IF((SUMIFS(tblWaste[Weight (kg)],tblWaste[View date],"&gt;0"))=0,"",(SUMIFS(tblWaste[Weight (kg)],tblWaste[Route],$B$83,tblWaste[View date],"&gt;0"))/(SUMIFS(tblWaste[Weight (kg)],tblWaste[View date],"&gt;0"))))</f>
        <v>0.658379062895737</v>
      </c>
      <c r="F83" s="54"/>
      <c r="G83" s="58">
        <v>2</v>
      </c>
      <c r="H83" s="38" t="str">
        <f>IF(INDEX($AP$82:$AP$89,MATCH(2,$AQ$82:$AQ$89,0))&lt;0,"",INDEX($AO$82:$AO$89,MATCH(2,$AQ$82:$AQ$89,0)))</f>
        <v>General waste</v>
      </c>
      <c r="I83" s="37">
        <f>IF($H$83="","",INDEX($AP$82:$AP$89,MATCH(2,$AQ$82:$AQ$89,0)))</f>
        <v>102.72</v>
      </c>
      <c r="J83" s="54">
        <f>IF(OR($H$83="",$I$90=0),"",$I$83/$I$90)</f>
        <v>0.21680033769523</v>
      </c>
      <c r="K83" s="54">
        <f>IF(OR($H$83="",$I$90=0),"",SUM($I$82:$I$83)/$I$90)</f>
        <v>0.747804981004643</v>
      </c>
      <c r="AO83" s="11" t="str">
        <f>IFERROR(INDEX(tblStreams[Stream],2)&amp;"","")</f>
        <v>Paper cores and tubes</v>
      </c>
      <c r="AP83" s="59">
        <f>IF($AO$83="",-1,SUMIFS(tblWaste[Weight (kg)],tblWaste[Stream],$AO$83,tblWaste[View date],"&gt;0")/KgPerUnit)</f>
        <v>10.41</v>
      </c>
      <c r="AQ83" s="60">
        <f>COUNTIF($AP$82:$AP$89,"&gt;"&amp;$AP$83)+COUNTIF($AP$82:$AP$83,$AP$83)</f>
        <v>6</v>
      </c>
    </row>
    <row r="84" spans="2:43" x14ac:dyDescent="0.25">
      <c r="B84" s="57" t="str">
        <f>IFERROR(INDEX(tblRoutes[Route],3)&amp;"","")</f>
        <v>Composting or digestion</v>
      </c>
      <c r="C84" s="37">
        <f>IF($B$84="","",SUMIFS(tblWaste[Weight (kg)],tblWaste[Route],$B$84,tblWaste[View date],"&gt;0")/KgPerUnit)</f>
        <v>6.46</v>
      </c>
      <c r="D84" s="37"/>
      <c r="E84" s="54">
        <f>IF($B$84="","",IF((SUMIFS(tblWaste[Weight (kg)],tblWaste[View date],"&gt;0"))=0,"",(SUMIFS(tblWaste[Weight (kg)],tblWaste[Route],$B$84,tblWaste[View date],"&gt;0"))/(SUMIFS(tblWaste[Weight (kg)],tblWaste[View date],"&gt;0"))))</f>
        <v>0.0136344449134656</v>
      </c>
      <c r="F84" s="54"/>
      <c r="G84" s="58">
        <v>3</v>
      </c>
      <c r="H84" s="38" t="str">
        <f>IF(INDEX($AP$82:$AP$89,MATCH(3,$AQ$82:$AQ$89,0))&lt;0,"",INDEX($AO$82:$AO$89,MATCH(3,$AQ$82:$AQ$89,0)))</f>
        <v>Plastic film scrap</v>
      </c>
      <c r="I84" s="37">
        <f>IF($H$84="","",INDEX($AP$82:$AP$89,MATCH(3,$AQ$82:$AQ$89,0)))</f>
        <v>61.98</v>
      </c>
      <c r="J84" s="54">
        <f>IF(OR($H$84="",$I$90=0),"",$I$84/$I$90)</f>
        <v>0.130814689742507</v>
      </c>
      <c r="K84" s="54">
        <f>IF(OR($H$84="",$I$90=0),"",SUM($I$82:$I$84)/$I$90)</f>
        <v>0.878619670747151</v>
      </c>
      <c r="AO84" s="11" t="str">
        <f>IFERROR(INDEX(tblStreams[Stream],3)&amp;"","")</f>
        <v>Plastic film scrap</v>
      </c>
      <c r="AP84" s="59">
        <f>IF($AO$84="",-1,SUMIFS(tblWaste[Weight (kg)],tblWaste[Stream],$AO$84,tblWaste[View date],"&gt;0")/KgPerUnit)</f>
        <v>61.98</v>
      </c>
      <c r="AQ84" s="60">
        <f>COUNTIF($AP$82:$AP$89,"&gt;"&amp;$AP$84)+COUNTIF($AP$82:$AP$84,$AP$84)</f>
        <v>3</v>
      </c>
    </row>
    <row r="85" spans="2:43" x14ac:dyDescent="0.25">
      <c r="B85" s="57" t="str">
        <f>IFERROR(INDEX(tblRoutes[Route],4)&amp;"","")</f>
        <v>Energy recovery</v>
      </c>
      <c r="C85" s="37">
        <f>IF($B$85="","",SUMIFS(tblWaste[Weight (kg)],tblWaste[Route],$B$85,tblWaste[View date],"&gt;0")/KgPerUnit)</f>
        <v>5.86</v>
      </c>
      <c r="D85" s="37"/>
      <c r="E85" s="54">
        <f>IF($B$85="","",IF((SUMIFS(tblWaste[Weight (kg)],tblWaste[View date],"&gt;0"))=0,"",(SUMIFS(tblWaste[Weight (kg)],tblWaste[Route],$B$85,tblWaste[View date],"&gt;0"))/(SUMIFS(tblWaste[Weight (kg)],tblWaste[View date],"&gt;0"))))</f>
        <v>0.0123680878007598</v>
      </c>
      <c r="F85" s="54"/>
      <c r="G85" s="58">
        <v>4</v>
      </c>
      <c r="H85" s="38" t="str">
        <f>IF(INDEX($AP$82:$AP$89,MATCH(4,$AQ$82:$AQ$89,0))&lt;0,"",INDEX($AO$82:$AO$89,MATCH(4,$AQ$82:$AQ$89,0)))</f>
        <v>Wood pallets</v>
      </c>
      <c r="I85" s="37">
        <f>IF($H$85="","",INDEX($AP$82:$AP$89,MATCH(4,$AQ$82:$AQ$89,0)))</f>
        <v>21.88</v>
      </c>
      <c r="J85" s="54">
        <f>IF(OR($H$85="",$I$90=0),"",$I$85/$I$90)</f>
        <v>0.0461798227100042</v>
      </c>
      <c r="K85" s="54">
        <f>IF(OR($H$85="",$I$90=0),"",SUM($I$82:$I$85)/$I$90)</f>
        <v>0.924799493457155</v>
      </c>
      <c r="AO85" s="11" t="str">
        <f>IFERROR(INDEX(tblStreams[Stream],4)&amp;"","")</f>
        <v>Wood pallets</v>
      </c>
      <c r="AP85" s="59">
        <f>IF($AO$85="",-1,SUMIFS(tblWaste[Weight (kg)],tblWaste[Stream],$AO$85,tblWaste[View date],"&gt;0")/KgPerUnit)</f>
        <v>21.88</v>
      </c>
      <c r="AQ85" s="60">
        <f>COUNTIF($AP$82:$AP$89,"&gt;"&amp;$AP$85)+COUNTIF($AP$82:$AP$85,$AP$85)</f>
        <v>4</v>
      </c>
    </row>
    <row r="86" spans="2:43" x14ac:dyDescent="0.25">
      <c r="B86" s="57" t="str">
        <f>IFERROR(INDEX(tblRoutes[Route],5)&amp;"","")</f>
        <v>Incineration</v>
      </c>
      <c r="C86" s="37">
        <f>IF($B$86="","",SUMIFS(tblWaste[Weight (kg)],tblWaste[Route],$B$86,tblWaste[View date],"&gt;0")/KgPerUnit)</f>
        <v>0</v>
      </c>
      <c r="D86" s="37"/>
      <c r="E86" s="54">
        <f>IF($B$86="","",IF((SUMIFS(tblWaste[Weight (kg)],tblWaste[View date],"&gt;0"))=0,"",(SUMIFS(tblWaste[Weight (kg)],tblWaste[Route],$B$86,tblWaste[View date],"&gt;0"))/(SUMIFS(tblWaste[Weight (kg)],tblWaste[View date],"&gt;0"))))</f>
        <v>0</v>
      </c>
      <c r="F86" s="54"/>
      <c r="G86" s="58">
        <v>5</v>
      </c>
      <c r="H86" s="38" t="str">
        <f>IF(INDEX($AP$82:$AP$89,MATCH(5,$AQ$82:$AQ$89,0))&lt;0,"",INDEX($AO$82:$AO$89,MATCH(5,$AQ$82:$AQ$89,0)))</f>
        <v>Steel strapping and scrap</v>
      </c>
      <c r="I86" s="37">
        <f>IF($H$86="","",INDEX($AP$82:$AP$89,MATCH(5,$AQ$82:$AQ$89,0)))</f>
        <v>12.9</v>
      </c>
      <c r="J86" s="54">
        <f>IF(OR($H$86="",$I$90=0),"",$I$86/$I$90)</f>
        <v>0.0272266779231743</v>
      </c>
      <c r="K86" s="54">
        <f>IF(OR($H$86="",$I$90=0),"",SUM($I$82:$I$86)/$I$90)</f>
        <v>0.952026171380329</v>
      </c>
      <c r="AO86" s="11" t="str">
        <f>IFERROR(INDEX(tblStreams[Stream],5)&amp;"","")</f>
        <v>Steel strapping and scrap</v>
      </c>
      <c r="AP86" s="59">
        <f>IF($AO$86="",-1,SUMIFS(tblWaste[Weight (kg)],tblWaste[Stream],$AO$86,tblWaste[View date],"&gt;0")/KgPerUnit)</f>
        <v>12.9</v>
      </c>
      <c r="AQ86" s="60">
        <f>COUNTIF($AP$82:$AP$89,"&gt;"&amp;$AP$86)+COUNTIF($AP$82:$AP$86,$AP$86)</f>
        <v>5</v>
      </c>
    </row>
    <row r="87" spans="2:43" x14ac:dyDescent="0.25">
      <c r="B87" s="57" t="str">
        <f>IFERROR(INDEX(tblRoutes[Route],6)&amp;"","")</f>
        <v>Landfill</v>
      </c>
      <c r="C87" s="37">
        <f>IF($B$87="","",SUMIFS(tblWaste[Weight (kg)],tblWaste[Route],$B$87,tblWaste[View date],"&gt;0")/KgPerUnit)</f>
        <v>133.02</v>
      </c>
      <c r="D87" s="37"/>
      <c r="E87" s="54">
        <f>IF($B$87="","",IF((SUMIFS(tblWaste[Weight (kg)],tblWaste[View date],"&gt;0"))=0,"",(SUMIFS(tblWaste[Weight (kg)],tblWaste[Route],$B$87,tblWaste[View date],"&gt;0"))/(SUMIFS(tblWaste[Weight (kg)],tblWaste[View date],"&gt;0"))))</f>
        <v>0.280751371886872</v>
      </c>
      <c r="F87" s="54"/>
      <c r="G87" s="58">
        <v>6</v>
      </c>
      <c r="H87" s="38" t="str">
        <f>IF(INDEX($AP$82:$AP$89,MATCH(6,$AQ$82:$AQ$89,0))&lt;0,"",INDEX($AO$82:$AO$89,MATCH(6,$AQ$82:$AQ$89,0)))</f>
        <v>Paper cores and tubes</v>
      </c>
      <c r="I87" s="37">
        <f>IF($H$87="","",INDEX($AP$82:$AP$89,MATCH(6,$AQ$82:$AQ$89,0)))</f>
        <v>10.41</v>
      </c>
      <c r="J87" s="54">
        <f>IF(OR($H$87="",$I$90=0),"",$I$87/$I$90)</f>
        <v>0.0219712959054453</v>
      </c>
      <c r="K87" s="54">
        <f>IF(OR($H$87="",$I$90=0),"",SUM($I$82:$I$87)/$I$90)</f>
        <v>0.973997467285775</v>
      </c>
      <c r="AO87" s="11" t="str">
        <f>IFERROR(INDEX(tblStreams[Stream],6)&amp;"","")</f>
        <v>Canteen food waste</v>
      </c>
      <c r="AP87" s="59">
        <f>IF($AO$87="",-1,SUMIFS(tblWaste[Weight (kg)],tblWaste[Stream],$AO$87,tblWaste[View date],"&gt;0")/KgPerUnit)</f>
        <v>6.46</v>
      </c>
      <c r="AQ87" s="60">
        <f>COUNTIF($AP$82:$AP$89,"&gt;"&amp;$AP$87)+COUNTIF($AP$82:$AP$87,$AP$87)</f>
        <v>7</v>
      </c>
    </row>
    <row r="88" spans="2:43" x14ac:dyDescent="0.25">
      <c r="G88" s="58">
        <v>7</v>
      </c>
      <c r="H88" s="38" t="str">
        <f>IF(INDEX($AP$82:$AP$89,MATCH(7,$AQ$82:$AQ$89,0))&lt;0,"",INDEX($AO$82:$AO$89,MATCH(7,$AQ$82:$AQ$89,0)))</f>
        <v>Canteen food waste</v>
      </c>
      <c r="I88" s="37">
        <f>IF($H$88="","",INDEX($AP$82:$AP$89,MATCH(7,$AQ$82:$AQ$89,0)))</f>
        <v>6.46</v>
      </c>
      <c r="J88" s="54">
        <f>IF(OR($H$88="",$I$90=0),"",$I$88/$I$90)</f>
        <v>0.0136344449134656</v>
      </c>
      <c r="K88" s="54">
        <f>IF(OR($H$88="",$I$90=0),"",SUM($I$82:$I$88)/$I$90)</f>
        <v>0.98763191219924</v>
      </c>
      <c r="AO88" s="11" t="str">
        <f>IFERROR(INDEX(tblStreams[Stream],7)&amp;"","")</f>
        <v>Ink and solvent waste</v>
      </c>
      <c r="AP88" s="59">
        <f>IF($AO$88="",-1,SUMIFS(tblWaste[Weight (kg)],tblWaste[Stream],$AO$88,tblWaste[View date],"&gt;0")/KgPerUnit)</f>
        <v>5.86</v>
      </c>
      <c r="AQ88" s="60">
        <f>COUNTIF($AP$82:$AP$89,"&gt;"&amp;$AP$88)+COUNTIF($AP$82:$AP$88,$AP$88)</f>
        <v>8</v>
      </c>
    </row>
    <row r="89" spans="2:43" x14ac:dyDescent="0.25">
      <c r="G89" s="58">
        <v>8</v>
      </c>
      <c r="H89" s="38" t="str">
        <f>IF(INDEX($AP$82:$AP$89,MATCH(8,$AQ$82:$AQ$89,0))&lt;0,"",INDEX($AO$82:$AO$89,MATCH(8,$AQ$82:$AQ$89,0)))</f>
        <v>Ink and solvent waste</v>
      </c>
      <c r="I89" s="37">
        <f>IF($H$89="","",INDEX($AP$82:$AP$89,MATCH(8,$AQ$82:$AQ$89,0)))</f>
        <v>5.86</v>
      </c>
      <c r="J89" s="54">
        <f>IF(OR($H$89="",$I$90=0),"",$I$89/$I$90)</f>
        <v>0.0123680878007598</v>
      </c>
      <c r="K89" s="54">
        <f>IF(OR($H$89="",$I$90=0),"",SUM($I$82:$I$89)/$I$90)</f>
        <v>1</v>
      </c>
      <c r="AO89" s="11" t="str">
        <f>IFERROR(INDEX(tblStreams[Stream],8)&amp;"","")</f>
        <v>General waste</v>
      </c>
      <c r="AP89" s="59">
        <f>IF($AO$89="",-1,SUMIFS(tblWaste[Weight (kg)],tblWaste[Stream],$AO$89,tblWaste[View date],"&gt;0")/KgPerUnit)</f>
        <v>102.72</v>
      </c>
      <c r="AQ89" s="60">
        <f>COUNTIF($AP$82:$AP$89,"&gt;"&amp;$AP$89)+COUNTIF($AP$82:$AP$89,$AP$89)</f>
        <v>2</v>
      </c>
    </row>
    <row r="90" spans="2:43" x14ac:dyDescent="0.25">
      <c r="G90" s="61"/>
      <c r="H90" s="61" t="s">
        <v>335</v>
      </c>
      <c r="I90" s="62">
        <f>SUMIF($AP$82:$AP$89,"&gt;0")</f>
        <v>473.8</v>
      </c>
      <c r="J90" s="61"/>
      <c r="K90" s="61"/>
    </row>
    <row r="92" spans="2:43" ht="26.76" customHeight="1" x14ac:dyDescent="0.25">
      <c r="B92" s="21" t="s">
        <v>352</v>
      </c>
      <c r="C92" s="21"/>
      <c r="D92" s="21"/>
      <c r="E92" s="21"/>
      <c r="F92" s="21"/>
      <c r="G92" s="21"/>
      <c r="H92" s="21"/>
      <c r="I92" s="21"/>
      <c r="J92" s="21"/>
      <c r="K92" s="21"/>
      <c r="L92" s="21"/>
    </row>
    <row r="93" spans="2:43" x14ac:dyDescent="0.25">
      <c r="B93" s="63">
        <f>IF(OR(COUNTA(tblStreams[Stream])&gt;8,COUNTA(tblRoutes[Route])&gt;6),"Setup lists are longer than the Dashboard blocks: some streams or routes are not shown.","")</f>
        <v/>
      </c>
      <c r="C93" s="63"/>
      <c r="D93" s="63"/>
      <c r="E93" s="63"/>
      <c r="F93" s="63"/>
      <c r="G93" s="63"/>
      <c r="H93" s="63"/>
      <c r="I93" s="63"/>
      <c r="J93" s="63"/>
      <c r="K93" s="63"/>
      <c r="L93" s="63"/>
    </row>
  </sheetData>
  <sheetProtection sheet="1" formatColumns="0" formatRows="0"/>
  <mergeCells count="62">
    <mergeCell ref="A1:L1"/>
    <mergeCell ref="B2:J2"/>
    <mergeCell ref="K2:L2"/>
    <mergeCell ref="B4:C4"/>
    <mergeCell ref="D4:E4"/>
    <mergeCell ref="G4:H4"/>
    <mergeCell ref="I4:J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51:I51"/>
    <mergeCell ref="B67:I67"/>
    <mergeCell ref="B79:F79"/>
    <mergeCell ref="C80:D80"/>
    <mergeCell ref="E80:F80"/>
    <mergeCell ref="C81:D81"/>
    <mergeCell ref="E81:F81"/>
    <mergeCell ref="C82:D82"/>
    <mergeCell ref="C83:D83"/>
    <mergeCell ref="C84:D84"/>
    <mergeCell ref="C85:D85"/>
    <mergeCell ref="C86:D86"/>
    <mergeCell ref="C87:D87"/>
    <mergeCell ref="E82:F82"/>
    <mergeCell ref="E83:F83"/>
    <mergeCell ref="E84:F84"/>
    <mergeCell ref="E85:F85"/>
    <mergeCell ref="E86:F86"/>
    <mergeCell ref="E87:F87"/>
    <mergeCell ref="G79:K79"/>
    <mergeCell ref="B92:L92"/>
    <mergeCell ref="B93:L93"/>
  </mergeCells>
  <conditionalFormatting sqref="D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E82:E87">
    <cfRule type="dataBar" priority="24">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G54:G65">
    <cfRule type="expression" dxfId="3" priority="21" stopIfTrue="1">
      <formula>AND(ISNUMBER(G54),G54&gt;=(TargetDiv))</formula>
    </cfRule>
    <cfRule type="expression" dxfId="4" priority="22" stopIfTrue="1">
      <formula>AND(ISNUMBER(G54),G54&gt;=(TargetDiv)*(1-0.05))</formula>
    </cfRule>
    <cfRule type="expression" dxfId="5" priority="23">
      <formula>ISNUMBER(G54)</formula>
    </cfRule>
  </conditionalFormatting>
  <conditionalFormatting sqref="I82:I89">
    <cfRule type="dataBar" priority="25">
      <dataBar>
        <cfvo type="num" val="0"/>
        <cfvo type="max"/>
        <color rgb="FFA8BDF0"/>
      </dataBar>
      <extLst>
        <ext xmlns:x14="http://schemas.microsoft.com/office/spreadsheetml/2009/9/main" uri="{B025F937-C7B1-47D3-B67F-A62EFF666E3E}">
          <x14:id>{DA7ABA51-AAAA-BBBB-0004-000000000002}</x14:id>
        </ext>
      </extLst>
    </cfRule>
  </conditionalFormatting>
  <dataValidations count="2">
    <dataValidation type="date" allowBlank="1" showInputMessage="1" showErrorMessage="1" errorTitle="Check this entry" error="Enter a date between 01 Jan 2000 and 31 Dec 2100." promptTitle="From" prompt="First collection date to include. Leave blank to start at the first record. Enter a date between 01 Jan 2000 and 31 Dec 2100." sqref="D4">
      <formula1>36526</formula1>
      <formula2>73415</formula2>
    </dataValidation>
    <dataValidation type="date" allowBlank="1" showInputMessage="1" showErrorMessage="1" errorTitle="Check this entry" error="Enter a date between 01 Jan 2000 and 31 Dec 2100." promptTitle="To" prompt="Last collection date to include. Leave blank to end at the latest record. Enter a date between 01 Jan 2000 and 31 Dec 2100." sqref="I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Waste and Recycling Tracker&amp;R&amp;8&amp;A</oddHeader>
    <oddFooter>&amp;L&amp;8mfgcalcs.com - free manufacturing templates&amp;R&amp;8Page &amp;P of &amp;N</oddFooter>
  </headerFooter>
  <rowBreaks count="3" manualBreakCount="3">
    <brk id="28" max="16383" man="1"/>
    <brk id="50" max="16383" man="1"/>
    <brk id="78"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E82:E87</xm:sqref>
        </x14:conditionalFormatting>
        <x14:conditionalFormatting xmlns:xm="http://schemas.microsoft.com/office/excel/2006/main">
          <x14:cfRule type="dataBar" id="{DA7ABA51-AAAA-BBBB-0004-000000000002}">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I82:I89</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4"/>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353</v>
      </c>
      <c r="C4" s="8"/>
      <c r="D4" s="8"/>
    </row>
    <row r="5" spans="1:4" ht="5" customHeight="1"/>
    <row r="6" spans="1:4" ht="55.8" customHeight="1">
      <c r="B6" s="10" t="s">
        <v>354</v>
      </c>
      <c r="C6" s="10"/>
      <c r="D6" s="10"/>
    </row>
    <row r="8" spans="1:4" ht="21" customHeight="1">
      <c r="B8" s="8" t="s">
        <v>355</v>
      </c>
      <c r="C8" s="8"/>
      <c r="D8" s="8"/>
    </row>
    <row r="9" spans="1:4" ht="5" customHeight="1"/>
    <row r="10" spans="1:4" ht="20" customHeight="1">
      <c r="B10" s="52" t="s">
        <v>356</v>
      </c>
      <c r="C10" s="52" t="s">
        <v>357</v>
      </c>
      <c r="D10" s="32" t="s">
        <v>358</v>
      </c>
    </row>
    <row r="11" spans="1:4" ht="17.2" customHeight="1">
      <c r="B11" s="64" t="s">
        <v>126</v>
      </c>
      <c r="C11" s="65" t="s">
        <v>359</v>
      </c>
      <c r="D11" s="66" t="s">
        <v>77</v>
      </c>
    </row>
    <row r="12" spans="1:4" ht="17.2" customHeight="1">
      <c r="B12" s="64" t="s">
        <v>360</v>
      </c>
      <c r="C12" s="65" t="s">
        <v>361</v>
      </c>
      <c r="D12" s="66" t="s">
        <v>362</v>
      </c>
    </row>
    <row r="13" spans="1:4" ht="30.4" customHeight="1">
      <c r="B13" s="64" t="s">
        <v>127</v>
      </c>
      <c r="C13" s="65" t="s">
        <v>363</v>
      </c>
      <c r="D13" s="66" t="s">
        <v>77</v>
      </c>
    </row>
    <row r="14" spans="1:4" ht="30.4" customHeight="1">
      <c r="B14" s="64" t="s">
        <v>128</v>
      </c>
      <c r="C14" s="65" t="s">
        <v>364</v>
      </c>
      <c r="D14" s="66" t="s">
        <v>365</v>
      </c>
    </row>
    <row r="15" spans="1:4" ht="30.4" customHeight="1">
      <c r="B15" s="64" t="s">
        <v>336</v>
      </c>
      <c r="C15" s="65" t="s">
        <v>366</v>
      </c>
      <c r="D15" s="66" t="s">
        <v>338</v>
      </c>
    </row>
    <row r="16" spans="1:4" ht="17.2" customHeight="1">
      <c r="B16" s="64" t="s">
        <v>367</v>
      </c>
      <c r="C16" s="65" t="s">
        <v>368</v>
      </c>
      <c r="D16" s="66" t="s">
        <v>369</v>
      </c>
    </row>
    <row r="17" spans="2:4" ht="17.2" customHeight="1">
      <c r="B17" s="64" t="s">
        <v>370</v>
      </c>
      <c r="C17" s="65" t="s">
        <v>371</v>
      </c>
      <c r="D17" s="66" t="s">
        <v>372</v>
      </c>
    </row>
    <row r="18" spans="2:4" ht="43.6" customHeight="1">
      <c r="B18" s="64" t="s">
        <v>373</v>
      </c>
      <c r="C18" s="65" t="s">
        <v>374</v>
      </c>
      <c r="D18" s="66" t="s">
        <v>362</v>
      </c>
    </row>
    <row r="20" spans="2:4" ht="21" customHeight="1">
      <c r="B20" s="8" t="s">
        <v>375</v>
      </c>
      <c r="C20" s="8"/>
      <c r="D20" s="8"/>
    </row>
    <row r="21" spans="2:4" ht="5" customHeight="1"/>
    <row r="22" spans="2:4" ht="16.2" customHeight="1">
      <c r="B22" s="26" t="s">
        <v>53</v>
      </c>
      <c r="C22" s="10" t="s">
        <v>376</v>
      </c>
      <c r="D22" s="10"/>
    </row>
    <row r="23" spans="2:4" ht="29.4" customHeight="1">
      <c r="B23" s="26" t="s">
        <v>53</v>
      </c>
      <c r="C23" s="10" t="s">
        <v>377</v>
      </c>
      <c r="D23" s="10"/>
    </row>
    <row r="24" spans="2:4" ht="29.4" customHeight="1">
      <c r="B24" s="26" t="s">
        <v>53</v>
      </c>
      <c r="C24" s="10" t="s">
        <v>378</v>
      </c>
      <c r="D24" s="10"/>
    </row>
    <row r="26" spans="2:4" ht="21" customHeight="1">
      <c r="B26" s="8" t="s">
        <v>379</v>
      </c>
      <c r="C26" s="8"/>
      <c r="D26" s="8"/>
    </row>
    <row r="27" spans="2:4" ht="5" customHeight="1"/>
    <row r="28" spans="2:4" ht="29.4" customHeight="1">
      <c r="B28" s="26" t="s">
        <v>53</v>
      </c>
      <c r="C28" s="10" t="s">
        <v>380</v>
      </c>
      <c r="D28" s="10"/>
    </row>
    <row r="29" spans="2:4" ht="29.4" customHeight="1">
      <c r="B29" s="26" t="s">
        <v>53</v>
      </c>
      <c r="C29" s="10" t="s">
        <v>381</v>
      </c>
      <c r="D29" s="10"/>
    </row>
    <row r="30" spans="2:4" ht="29.4" customHeight="1">
      <c r="B30" s="26" t="s">
        <v>53</v>
      </c>
      <c r="C30" s="10" t="s">
        <v>382</v>
      </c>
      <c r="D30" s="10"/>
    </row>
    <row r="32" spans="2:4" ht="21" customHeight="1">
      <c r="B32" s="8" t="s">
        <v>383</v>
      </c>
      <c r="C32" s="8"/>
      <c r="D32" s="8"/>
    </row>
    <row r="33" spans="2:4" ht="5" customHeight="1"/>
    <row r="34" spans="2:4" ht="55.8" customHeight="1">
      <c r="B34" s="10" t="s">
        <v>384</v>
      </c>
      <c r="C34" s="10"/>
      <c r="D34" s="10"/>
    </row>
    <row r="35" spans="2:4">
      <c r="B35" s="24" t="s">
        <v>385</v>
      </c>
      <c r="C35" s="24"/>
      <c r="D35" s="24"/>
    </row>
    <row r="37" spans="2:4" ht="21" customHeight="1">
      <c r="B37" s="8" t="s">
        <v>40</v>
      </c>
      <c r="C37" s="8"/>
      <c r="D37" s="8"/>
    </row>
    <row r="38" spans="2:4" ht="5" customHeight="1"/>
    <row r="39" spans="2:4" ht="42.6" customHeight="1">
      <c r="B39" s="10" t="s">
        <v>386</v>
      </c>
      <c r="C39" s="10"/>
      <c r="D39" s="10"/>
    </row>
    <row r="41" spans="2:4" ht="21" customHeight="1">
      <c r="B41" s="8" t="s">
        <v>387</v>
      </c>
      <c r="C41" s="8"/>
      <c r="D41" s="8"/>
    </row>
    <row r="42" spans="2:4" ht="5" customHeight="1"/>
    <row r="43" spans="2:4" ht="29.4" customHeight="1">
      <c r="B43" s="26" t="s">
        <v>53</v>
      </c>
      <c r="C43" s="10" t="s">
        <v>388</v>
      </c>
      <c r="D43" s="10"/>
    </row>
    <row r="44" spans="2:4" ht="16.2" customHeight="1">
      <c r="B44" s="26" t="s">
        <v>53</v>
      </c>
      <c r="C44" s="10" t="s">
        <v>389</v>
      </c>
      <c r="D44" s="10"/>
    </row>
    <row r="45" spans="2:4" ht="29.4" customHeight="1">
      <c r="B45" s="26" t="s">
        <v>53</v>
      </c>
      <c r="C45" s="10" t="s">
        <v>390</v>
      </c>
      <c r="D45" s="10"/>
    </row>
    <row r="46" spans="2:4" ht="16.2" customHeight="1">
      <c r="B46" s="26" t="s">
        <v>53</v>
      </c>
      <c r="C46" s="10" t="s">
        <v>391</v>
      </c>
      <c r="D46" s="10"/>
    </row>
    <row r="47" spans="2:4">
      <c r="B47" s="21" t="s">
        <v>392</v>
      </c>
      <c r="C47" s="21"/>
      <c r="D47" s="21"/>
    </row>
    <row r="49" spans="2:4" ht="21" customHeight="1">
      <c r="B49" s="8" t="s">
        <v>393</v>
      </c>
      <c r="C49" s="8"/>
      <c r="D49" s="8"/>
    </row>
    <row r="50" spans="2:4" ht="5" customHeight="1"/>
    <row r="51" spans="2:4">
      <c r="B51" s="52" t="s">
        <v>48</v>
      </c>
      <c r="C51" s="52" t="s">
        <v>394</v>
      </c>
      <c r="D51" s="32" t="s">
        <v>119</v>
      </c>
    </row>
    <row r="52" spans="2:4" ht="16.2" customHeight="1">
      <c r="B52" s="67" t="s">
        <v>395</v>
      </c>
      <c r="C52" s="68" t="s">
        <v>396</v>
      </c>
      <c r="D52" s="69" t="s">
        <v>397</v>
      </c>
    </row>
    <row r="54" spans="2:4">
      <c r="B54" s="21" t="s">
        <v>59</v>
      </c>
      <c r="C54" s="21"/>
      <c r="D54" s="21"/>
    </row>
  </sheetData>
  <sheetProtection sheet="1" formatColumns="0" formatRows="0"/>
  <mergeCells count="26">
    <mergeCell ref="A1:D1"/>
    <mergeCell ref="B2:C2"/>
    <mergeCell ref="B4:D4"/>
    <mergeCell ref="B6:D6"/>
    <mergeCell ref="B8:D8"/>
    <mergeCell ref="B20:D20"/>
    <mergeCell ref="C22:D22"/>
    <mergeCell ref="C23:D23"/>
    <mergeCell ref="C24:D24"/>
    <mergeCell ref="B26:D26"/>
    <mergeCell ref="C28:D28"/>
    <mergeCell ref="C29:D29"/>
    <mergeCell ref="C30:D30"/>
    <mergeCell ref="B32:D32"/>
    <mergeCell ref="B34:D34"/>
    <mergeCell ref="B35:D35"/>
    <mergeCell ref="B37:D37"/>
    <mergeCell ref="B39:D39"/>
    <mergeCell ref="B41:D41"/>
    <mergeCell ref="C43:D43"/>
    <mergeCell ref="C44:D44"/>
    <mergeCell ref="C45:D45"/>
    <mergeCell ref="C46:D46"/>
    <mergeCell ref="B47:D47"/>
    <mergeCell ref="B49:D49"/>
    <mergeCell ref="B54:D54"/>
  </mergeCells>
  <hyperlinks>
    <hyperlink ref="D2" r:id="rId1" tooltip="Free manufacturing calculators and templates"/>
    <hyperlink ref="B35" r:id="rId2"/>
  </hyperlinks>
  <printOptions horizontalCentered="1"/>
  <pageMargins left="0.4" right="0.4" top="0.7" bottom="0.65" header="0.3" footer="0.3"/>
  <pageSetup fitToHeight="0" orientation="portrait"/>
  <headerFooter>
    <oddHeader>&amp;L&amp;8MFG Calcs - Waste and Recycling Tracker&amp;R&amp;8&amp;A</oddHeader>
    <oddFooter>&amp;L&amp;8mfgcalcs.com - free manufacturing templates&amp;R&amp;8Page &amp;P of &amp;N</oddFooter>
  </headerFooter>
  <rowBreaks count="1" manualBreakCount="1">
    <brk id="30"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R45"/>
  <sheetViews>
    <sheetView showGridLines="0" workbookViewId="0"/>
  </sheetViews>
  <sheetFormatPr defaultRowHeight="15"/>
  <cols>
    <col min="1" max="1" width="2.7109375" customWidth="1"/>
    <col min="2" max="19" width="12.7109375" customWidth="1"/>
  </cols>
  <sheetData>
    <row r="1" spans="1:18" ht="30" customHeight="1">
      <c r="A1" s="1" t="s">
        <v>0</v>
      </c>
      <c r="B1" s="1"/>
      <c r="C1" s="1"/>
      <c r="D1" s="1"/>
      <c r="E1" s="1"/>
      <c r="F1" s="1"/>
      <c r="G1" s="1"/>
      <c r="H1" s="1"/>
      <c r="I1" s="1"/>
      <c r="J1" s="1"/>
      <c r="K1" s="1"/>
      <c r="L1" s="1"/>
      <c r="M1" s="1"/>
      <c r="N1" s="1"/>
      <c r="O1" s="1"/>
      <c r="P1" s="1"/>
      <c r="Q1" s="1"/>
      <c r="R1" s="1"/>
    </row>
    <row r="2" spans="1:18" ht="21" customHeight="1">
      <c r="B2" s="2" t="s">
        <v>26</v>
      </c>
      <c r="C2" s="2"/>
      <c r="D2" s="2"/>
      <c r="E2" s="2"/>
      <c r="F2" s="2"/>
      <c r="G2" s="2"/>
      <c r="H2" s="2"/>
      <c r="I2" s="2"/>
      <c r="J2" s="2"/>
      <c r="K2" s="2"/>
      <c r="L2" s="2"/>
      <c r="M2" s="2"/>
      <c r="N2" s="2"/>
      <c r="O2" s="2"/>
      <c r="P2" s="2"/>
      <c r="Q2" s="2"/>
      <c r="R2" s="3" t="s">
        <v>2</v>
      </c>
    </row>
    <row r="3" spans="1:18" ht="6" customHeight="1"/>
    <row r="4" spans="1:18" ht="30" customHeight="1">
      <c r="B4" s="70" t="s">
        <v>398</v>
      </c>
      <c r="C4" s="70"/>
      <c r="D4" s="22" t="str">
        <f>IF(COUNTIF($K$11:$K$26,"PASS")=16,"PASS","FAIL")</f>
        <v>PASS</v>
      </c>
      <c r="E4" s="22"/>
      <c r="F4" s="23" t="str">
        <f>COUNTIF($K$11:$K$26,"PASS")&amp;" of 16 checks pass"</f>
        <v>16 of 16 checks pass</v>
      </c>
      <c r="G4" s="23"/>
      <c r="H4" s="23"/>
      <c r="I4" s="23"/>
      <c r="J4" s="23"/>
    </row>
    <row r="6" spans="1:18" ht="29.4" customHeight="1">
      <c r="B6" s="10" t="s">
        <v>399</v>
      </c>
      <c r="C6" s="10"/>
      <c r="D6" s="10"/>
      <c r="E6" s="10"/>
      <c r="F6" s="10"/>
      <c r="G6" s="10"/>
      <c r="H6" s="10"/>
      <c r="I6" s="10"/>
      <c r="J6" s="10"/>
      <c r="K6" s="10"/>
      <c r="L6" s="10"/>
    </row>
    <row r="8" spans="1:18" ht="21" customHeight="1">
      <c r="B8" s="8" t="s">
        <v>400</v>
      </c>
      <c r="C8" s="8"/>
      <c r="D8" s="8"/>
      <c r="E8" s="8"/>
      <c r="F8" s="8"/>
      <c r="G8" s="8"/>
      <c r="H8" s="8"/>
      <c r="I8" s="8"/>
      <c r="J8" s="8"/>
      <c r="K8" s="8"/>
      <c r="L8" s="8"/>
    </row>
    <row r="9" spans="1:18" ht="5" customHeight="1"/>
    <row r="10" spans="1:18" ht="30" customHeight="1">
      <c r="B10" s="32" t="s">
        <v>401</v>
      </c>
      <c r="C10" s="52" t="s">
        <v>130</v>
      </c>
      <c r="D10" s="52"/>
      <c r="E10" s="52"/>
      <c r="F10" s="52"/>
      <c r="G10" s="32" t="s">
        <v>402</v>
      </c>
      <c r="H10" s="32" t="s">
        <v>403</v>
      </c>
      <c r="I10" s="32" t="s">
        <v>404</v>
      </c>
      <c r="J10" s="32" t="s">
        <v>405</v>
      </c>
      <c r="K10" s="32" t="s">
        <v>406</v>
      </c>
    </row>
    <row r="11" spans="1:18" ht="16.2" customHeight="1">
      <c r="B11" s="58">
        <v>1</v>
      </c>
      <c r="C11" s="68" t="s">
        <v>407</v>
      </c>
      <c r="D11" s="68"/>
      <c r="E11" s="68"/>
      <c r="F11" s="68"/>
      <c r="G11" s="71">
        <v>600000</v>
      </c>
      <c r="H11" s="72">
        <f>$K$40</f>
        <v>600000</v>
      </c>
      <c r="I11" s="73">
        <f>IF(AND(ISNUMBER($G$11),ISNUMBER($H$11)),ABS($H$11-$G$11),"")</f>
        <v>0</v>
      </c>
      <c r="J11" s="74">
        <v>1E-09</v>
      </c>
      <c r="K11" s="75" t="str">
        <f>IF(AND(ISNUMBER($G$11),ISNUMBER($H$11)),IF(ABS($H$11-$G$11)&lt;=$J$11,"PASS","FAIL"),"FAIL")</f>
        <v>PASS</v>
      </c>
    </row>
    <row r="12" spans="1:18" ht="16.2" customHeight="1">
      <c r="B12" s="58">
        <v>2</v>
      </c>
      <c r="C12" s="68" t="s">
        <v>408</v>
      </c>
      <c r="D12" s="68"/>
      <c r="E12" s="68"/>
      <c r="F12" s="68"/>
      <c r="G12" s="71">
        <v>80000</v>
      </c>
      <c r="H12" s="72">
        <f>$K$41</f>
        <v>80000</v>
      </c>
      <c r="I12" s="73">
        <f>IF(AND(ISNUMBER($G$12),ISNUMBER($H$12)),ABS($H$12-$G$12),"")</f>
        <v>0</v>
      </c>
      <c r="J12" s="74">
        <v>1E-09</v>
      </c>
      <c r="K12" s="75" t="str">
        <f>IF(AND(ISNUMBER($G$12),ISNUMBER($H$12)),IF(ABS($H$12-$G$12)&lt;=$J$12,"PASS","FAIL"),"FAIL")</f>
        <v>PASS</v>
      </c>
    </row>
    <row r="13" spans="1:18" ht="16.2" customHeight="1">
      <c r="B13" s="58">
        <v>3</v>
      </c>
      <c r="C13" s="68" t="s">
        <v>409</v>
      </c>
      <c r="D13" s="68"/>
      <c r="E13" s="68"/>
      <c r="F13" s="68"/>
      <c r="G13" s="71">
        <v>170000</v>
      </c>
      <c r="H13" s="72">
        <f>$K$42</f>
        <v>170000</v>
      </c>
      <c r="I13" s="73">
        <f>IF(AND(ISNUMBER($G$13),ISNUMBER($H$13)),ABS($H$13-$G$13),"")</f>
        <v>0</v>
      </c>
      <c r="J13" s="74">
        <v>1E-09</v>
      </c>
      <c r="K13" s="75" t="str">
        <f>IF(AND(ISNUMBER($G$13),ISNUMBER($H$13)),IF(ABS($H$13-$G$13)&lt;=$J$13,"PASS","FAIL"),"FAIL")</f>
        <v>PASS</v>
      </c>
    </row>
    <row r="14" spans="1:18" ht="16.2" customHeight="1">
      <c r="B14" s="58">
        <v>4</v>
      </c>
      <c r="C14" s="68" t="s">
        <v>410</v>
      </c>
      <c r="D14" s="68"/>
      <c r="E14" s="68"/>
      <c r="F14" s="68"/>
      <c r="G14" s="71">
        <v>907.18474</v>
      </c>
      <c r="H14" s="72">
        <f>$K$43</f>
        <v>907.18474</v>
      </c>
      <c r="I14" s="73">
        <f>IF(AND(ISNUMBER($G$14),ISNUMBER($H$14)),ABS($H$14-$G$14),"")</f>
        <v>0</v>
      </c>
      <c r="J14" s="74">
        <v>1E-09</v>
      </c>
      <c r="K14" s="75" t="str">
        <f>IF(AND(ISNUMBER($G$14),ISNUMBER($H$14)),IF(ABS($H$14-$G$14)&lt;=$J$14,"PASS","FAIL"),"FAIL")</f>
        <v>PASS</v>
      </c>
    </row>
    <row r="15" spans="1:18" ht="16.2" customHeight="1">
      <c r="B15" s="58">
        <v>5</v>
      </c>
      <c r="C15" s="68" t="s">
        <v>411</v>
      </c>
      <c r="D15" s="68"/>
      <c r="E15" s="68"/>
      <c r="F15" s="68"/>
      <c r="G15" s="71">
        <v>1360.77711</v>
      </c>
      <c r="H15" s="72">
        <f>$K$44</f>
        <v>1360.77711</v>
      </c>
      <c r="I15" s="73">
        <f>IF(AND(ISNUMBER($G$15),ISNUMBER($H$15)),ABS($H$15-$G$15),"")</f>
        <v>0</v>
      </c>
      <c r="J15" s="74">
        <v>1E-09</v>
      </c>
      <c r="K15" s="75" t="str">
        <f>IF(AND(ISNUMBER($G$15),ISNUMBER($H$15)),IF(ABS($H$15-$G$15)&lt;=$J$15,"PASS","FAIL"),"FAIL")</f>
        <v>PASS</v>
      </c>
    </row>
    <row r="16" spans="1:18" ht="16.2" customHeight="1">
      <c r="B16" s="58">
        <v>6</v>
      </c>
      <c r="C16" s="68" t="s">
        <v>412</v>
      </c>
      <c r="D16" s="68"/>
      <c r="E16" s="68"/>
      <c r="F16" s="68"/>
      <c r="G16" s="76">
        <v>80000</v>
      </c>
      <c r="H16" s="37">
        <f>$N$41</f>
        <v>80000</v>
      </c>
      <c r="I16" s="73">
        <f>IF(AND(ISNUMBER($G$16),ISNUMBER($H$16)),ABS($H$16-$G$16),"")</f>
        <v>0</v>
      </c>
      <c r="J16" s="74">
        <v>1E-09</v>
      </c>
      <c r="K16" s="75" t="str">
        <f>IF(AND(ISNUMBER($G$16),ISNUMBER($H$16)),IF(ABS($H$16-$G$16)&lt;=$J$16,"PASS","FAIL"),"FAIL")</f>
        <v>PASS</v>
      </c>
    </row>
    <row r="17" spans="2:12" ht="16.2" customHeight="1">
      <c r="B17" s="58">
        <v>7</v>
      </c>
      <c r="C17" s="68" t="s">
        <v>413</v>
      </c>
      <c r="D17" s="68"/>
      <c r="E17" s="68"/>
      <c r="F17" s="68"/>
      <c r="G17" s="76">
        <v>0</v>
      </c>
      <c r="H17" s="37">
        <f>$N$42</f>
        <v>0</v>
      </c>
      <c r="I17" s="73">
        <f>IF(AND(ISNUMBER($G$17),ISNUMBER($H$17)),ABS($H$17-$G$17),"")</f>
        <v>0</v>
      </c>
      <c r="J17" s="74">
        <v>1E-09</v>
      </c>
      <c r="K17" s="75" t="str">
        <f>IF(AND(ISNUMBER($G$17),ISNUMBER($H$17)),IF(ABS($H$17-$G$17)&lt;=$J$17,"PASS","FAIL"),"FAIL")</f>
        <v>PASS</v>
      </c>
    </row>
    <row r="18" spans="2:12" ht="16.2" customHeight="1">
      <c r="B18" s="58">
        <v>8</v>
      </c>
      <c r="C18" s="68" t="s">
        <v>414</v>
      </c>
      <c r="D18" s="68"/>
      <c r="E18" s="68"/>
      <c r="F18" s="68"/>
      <c r="G18" s="77">
        <v>-36000</v>
      </c>
      <c r="H18" s="30">
        <f>$O$40</f>
        <v>-36000</v>
      </c>
      <c r="I18" s="73">
        <f>IF(AND(ISNUMBER($G$18),ISNUMBER($H$18)),ABS($H$18-$G$18),"")</f>
        <v>0</v>
      </c>
      <c r="J18" s="74">
        <v>1E-09</v>
      </c>
      <c r="K18" s="75" t="str">
        <f>IF(AND(ISNUMBER($G$18),ISNUMBER($H$18)),IF(ABS($H$18-$G$18)&lt;=$J$18,"PASS","FAIL"),"FAIL")</f>
        <v>PASS</v>
      </c>
    </row>
    <row r="19" spans="2:12" ht="16.2" customHeight="1">
      <c r="B19" s="58">
        <v>9</v>
      </c>
      <c r="C19" s="68" t="s">
        <v>415</v>
      </c>
      <c r="D19" s="68"/>
      <c r="E19" s="68"/>
      <c r="F19" s="68"/>
      <c r="G19" s="67" t="s">
        <v>416</v>
      </c>
      <c r="H19" s="38" t="str">
        <f>$Q$45</f>
        <v>Hazardous to landfill: check permit</v>
      </c>
      <c r="I19" s="38"/>
      <c r="J19" s="69" t="s">
        <v>417</v>
      </c>
      <c r="K19" s="75" t="str">
        <f>IF($H$19&amp;""=$G$19&amp;"","PASS","FAIL")</f>
        <v>PASS</v>
      </c>
    </row>
    <row r="20" spans="2:12" ht="16.2" customHeight="1">
      <c r="B20" s="58">
        <v>10</v>
      </c>
      <c r="C20" s="68" t="s">
        <v>418</v>
      </c>
      <c r="D20" s="68"/>
      <c r="E20" s="68"/>
      <c r="F20" s="68"/>
      <c r="G20" s="78">
        <v>0.8</v>
      </c>
      <c r="H20" s="79">
        <f>IF((SUMIFS(tblVerifyWaste[Weight (kg)],tblVerifyWaste[Ticket no.],"&lt;=A3"))=0,"",(SUMIFS(tblVerifyWaste[Diverted (kg)],tblVerifyWaste[Ticket no.],"&lt;=A3"))/(SUMIFS(tblVerifyWaste[Weight (kg)],tblVerifyWaste[Ticket no.],"&lt;=A3")))</f>
        <v>0.8</v>
      </c>
      <c r="I20" s="73">
        <f>IF(AND(ISNUMBER($G$20),ISNUMBER($H$20)),ABS($H$20-$G$20),"")</f>
        <v>0</v>
      </c>
      <c r="J20" s="74">
        <v>1E-09</v>
      </c>
      <c r="K20" s="75" t="str">
        <f>IF(AND(ISNUMBER($G$20),ISNUMBER($H$20)),IF(ABS($H$20-$G$20)&lt;=$J$20,"PASS","FAIL"),"FAIL")</f>
        <v>PASS</v>
      </c>
    </row>
    <row r="21" spans="2:12" ht="16.2" customHeight="1">
      <c r="B21" s="58">
        <v>11</v>
      </c>
      <c r="C21" s="68" t="s">
        <v>419</v>
      </c>
      <c r="D21" s="68"/>
      <c r="E21" s="68"/>
      <c r="F21" s="68"/>
      <c r="G21" s="78">
        <v>0.7989355639533479</v>
      </c>
      <c r="H21" s="79">
        <f>IF((SUMIFS(tblVerifyWaste[Weight (kg)],tblVerifyWaste[View date],"&gt;0"))=0,"",(SUMIFS(tblVerifyWaste[Diverted (kg)],tblVerifyWaste[View date],"&gt;0"))/(SUMIFS(tblVerifyWaste[Weight (kg)],tblVerifyWaste[View date],"&gt;0")))</f>
        <v>0.798935563953348</v>
      </c>
      <c r="I21" s="73">
        <f>IF(AND(ISNUMBER($G$21),ISNUMBER($H$21)),ABS($H$21-$G$21),"")</f>
        <v>0</v>
      </c>
      <c r="J21" s="74">
        <v>1E-09</v>
      </c>
      <c r="K21" s="75" t="str">
        <f>IF(AND(ISNUMBER($G$21),ISNUMBER($H$21)),IF(ABS($H$21-$G$21)&lt;=$J$21,"PASS","FAIL"),"FAIL")</f>
        <v>PASS</v>
      </c>
    </row>
    <row r="22" spans="2:12" ht="16.2" customHeight="1">
      <c r="B22" s="58">
        <v>12</v>
      </c>
      <c r="C22" s="68" t="s">
        <v>420</v>
      </c>
      <c r="D22" s="68"/>
      <c r="E22" s="68"/>
      <c r="F22" s="68"/>
      <c r="G22" s="71">
        <v>852.26796185</v>
      </c>
      <c r="H22" s="72">
        <f>SUMIFS(tblVerifyWaste[Weight (kg)],tblVerifyWaste[View date],"&gt;0")/$E$35</f>
        <v>852.26796185</v>
      </c>
      <c r="I22" s="73">
        <f>IF(AND(ISNUMBER($G$22),ISNUMBER($H$22)),ABS($H$22-$G$22),"")</f>
        <v>0</v>
      </c>
      <c r="J22" s="74">
        <v>1E-09</v>
      </c>
      <c r="K22" s="75" t="str">
        <f>IF(AND(ISNUMBER($G$22),ISNUMBER($H$22)),IF(ABS($H$22-$G$22)&lt;=$J$22,"PASS","FAIL"),"FAIL")</f>
        <v>PASS</v>
      </c>
    </row>
    <row r="23" spans="2:12" ht="16.2" customHeight="1">
      <c r="B23" s="58">
        <v>13</v>
      </c>
      <c r="C23" s="68" t="s">
        <v>421</v>
      </c>
      <c r="D23" s="68"/>
      <c r="E23" s="68"/>
      <c r="F23" s="68"/>
      <c r="G23" s="71">
        <v>171.36077711</v>
      </c>
      <c r="H23" s="72">
        <f>SUMIFS(tblVerifyWaste[Weight (kg)],tblVerifyWaste[Class],"Disposal",tblVerifyWaste[View date],"&gt;0")/$E$35</f>
        <v>171.36077711</v>
      </c>
      <c r="I23" s="73">
        <f>IF(AND(ISNUMBER($G$23),ISNUMBER($H$23)),ABS($H$23-$G$23),"")</f>
        <v>0</v>
      </c>
      <c r="J23" s="74">
        <v>1E-09</v>
      </c>
      <c r="K23" s="75" t="str">
        <f>IF(AND(ISNUMBER($G$23),ISNUMBER($H$23)),IF(ABS($H$23-$G$23)&lt;=$J$23,"PASS","FAIL"),"FAIL")</f>
        <v>PASS</v>
      </c>
    </row>
    <row r="24" spans="2:12" ht="16.2" customHeight="1">
      <c r="B24" s="58">
        <v>14</v>
      </c>
      <c r="C24" s="68" t="s">
        <v>422</v>
      </c>
      <c r="D24" s="68"/>
      <c r="E24" s="68"/>
      <c r="F24" s="68"/>
      <c r="G24" s="71">
        <v>80</v>
      </c>
      <c r="H24" s="72">
        <f>SUMIFS(tblVerifyWaste[Weight (kg)],tblVerifyWaste[Hazardous],"Yes",tblVerifyWaste[View date],"&gt;0")/$E$35</f>
        <v>80</v>
      </c>
      <c r="I24" s="73">
        <f>IF(AND(ISNUMBER($G$24),ISNUMBER($H$24)),ABS($H$24-$G$24),"")</f>
        <v>0</v>
      </c>
      <c r="J24" s="74">
        <v>1E-09</v>
      </c>
      <c r="K24" s="75" t="str">
        <f>IF(AND(ISNUMBER($G$24),ISNUMBER($H$24)),IF(ABS($H$24-$G$24)&lt;=$J$24,"PASS","FAIL"),"FAIL")</f>
        <v>PASS</v>
      </c>
    </row>
    <row r="25" spans="2:12" ht="16.2" customHeight="1">
      <c r="B25" s="58">
        <v>15</v>
      </c>
      <c r="C25" s="68" t="s">
        <v>423</v>
      </c>
      <c r="D25" s="68"/>
      <c r="E25" s="68"/>
      <c r="F25" s="68"/>
      <c r="G25" s="77">
        <v>35290</v>
      </c>
      <c r="H25" s="30">
        <f>SUMIFS(tblVerifyWaste[Net cost],tblVerifyWaste[View date],"&gt;0")</f>
        <v>35290</v>
      </c>
      <c r="I25" s="73">
        <f>IF(AND(ISNUMBER($G$25),ISNUMBER($H$25)),ABS($H$25-$G$25),"")</f>
        <v>0</v>
      </c>
      <c r="J25" s="74">
        <v>1E-09</v>
      </c>
      <c r="K25" s="75" t="str">
        <f>IF(AND(ISNUMBER($G$25),ISNUMBER($H$25)),IF(ABS($H$25-$G$25)&lt;=$J$25,"PASS","FAIL"),"FAIL")</f>
        <v>PASS</v>
      </c>
    </row>
    <row r="26" spans="2:12" ht="16.2" customHeight="1">
      <c r="B26" s="58">
        <v>16</v>
      </c>
      <c r="C26" s="68" t="s">
        <v>424</v>
      </c>
      <c r="D26" s="68"/>
      <c r="E26" s="68"/>
      <c r="F26" s="68"/>
      <c r="G26" s="77">
        <v>41.40716485856953</v>
      </c>
      <c r="H26" s="30">
        <f>IF((SUMIFS(tblVerifyWaste[Weight (kg)],tblVerifyWaste[View date],"&gt;0")/$E$35)=0,"",(SUMIFS(tblVerifyWaste[Net cost],tblVerifyWaste[View date],"&gt;0"))/(SUMIFS(tblVerifyWaste[Weight (kg)],tblVerifyWaste[View date],"&gt;0")/$E$35))</f>
        <v>41.4071648585695</v>
      </c>
      <c r="I26" s="73">
        <f>IF(AND(ISNUMBER($G$26),ISNUMBER($H$26)),ABS($H$26-$G$26),"")</f>
        <v>0</v>
      </c>
      <c r="J26" s="74">
        <v>1E-09</v>
      </c>
      <c r="K26" s="75" t="str">
        <f>IF(AND(ISNUMBER($G$26),ISNUMBER($H$26)),IF(ABS($H$26-$G$26)&lt;=$J$26,"PASS","FAIL"),"FAIL")</f>
        <v>PASS</v>
      </c>
    </row>
    <row r="28" spans="2:12" ht="21" customHeight="1">
      <c r="B28" s="8" t="s">
        <v>425</v>
      </c>
      <c r="C28" s="8"/>
      <c r="D28" s="8"/>
      <c r="E28" s="8"/>
      <c r="F28" s="8"/>
      <c r="G28" s="8"/>
      <c r="H28" s="8"/>
      <c r="I28" s="8"/>
      <c r="J28" s="8"/>
      <c r="K28" s="8"/>
      <c r="L28" s="8"/>
    </row>
    <row r="29" spans="2:12" ht="5" customHeight="1"/>
    <row r="30" spans="2:12">
      <c r="B30" s="21" t="s">
        <v>426</v>
      </c>
      <c r="C30" s="21"/>
      <c r="D30" s="21"/>
      <c r="E30" s="21"/>
      <c r="F30" s="21"/>
      <c r="G30" s="21"/>
      <c r="H30" s="21"/>
      <c r="I30" s="21"/>
      <c r="J30" s="21"/>
      <c r="K30" s="21"/>
      <c r="L30" s="21"/>
    </row>
    <row r="31" spans="2:12">
      <c r="B31" s="31" t="s">
        <v>427</v>
      </c>
      <c r="C31" s="31"/>
      <c r="D31" s="31"/>
      <c r="E31" s="31"/>
      <c r="F31" s="31"/>
    </row>
    <row r="32" spans="2:12">
      <c r="B32" s="27" t="s">
        <v>428</v>
      </c>
      <c r="C32" s="27"/>
      <c r="D32" s="27"/>
      <c r="E32" s="80">
        <v>0</v>
      </c>
      <c r="F32" s="7"/>
    </row>
    <row r="33" spans="2:18">
      <c r="B33" s="27" t="s">
        <v>429</v>
      </c>
      <c r="C33" s="27"/>
      <c r="D33" s="27"/>
      <c r="E33" s="80">
        <v>2958465</v>
      </c>
      <c r="F33" s="7"/>
    </row>
    <row r="34" spans="2:18">
      <c r="B34" s="27" t="s">
        <v>430</v>
      </c>
      <c r="C34" s="27"/>
      <c r="D34" s="27"/>
      <c r="E34" s="67" t="s">
        <v>73</v>
      </c>
      <c r="F34" s="67"/>
    </row>
    <row r="35" spans="2:18">
      <c r="B35" s="27" t="s">
        <v>431</v>
      </c>
      <c r="C35" s="27"/>
      <c r="D35" s="27"/>
      <c r="E35" s="77">
        <v>1000</v>
      </c>
      <c r="F35" s="7"/>
    </row>
    <row r="37" spans="2:18">
      <c r="B37" s="31" t="s">
        <v>432</v>
      </c>
      <c r="C37" s="31"/>
      <c r="D37" s="31"/>
      <c r="E37" s="31"/>
      <c r="F37" s="31"/>
      <c r="G37" s="31"/>
      <c r="H37" s="31"/>
      <c r="I37" s="31"/>
      <c r="J37" s="31"/>
      <c r="K37" s="31"/>
      <c r="L37" s="31"/>
    </row>
    <row r="38" spans="2:18" ht="14" customHeight="1">
      <c r="B38" s="34"/>
      <c r="C38" s="34"/>
      <c r="D38" s="34"/>
      <c r="E38" s="34"/>
      <c r="F38" s="34"/>
      <c r="G38" s="34"/>
      <c r="H38" s="34"/>
      <c r="I38" s="34" t="str">
        <f>Currency</f>
        <v>USD</v>
      </c>
      <c r="J38" s="34" t="str">
        <f>Currency</f>
        <v>USD</v>
      </c>
      <c r="K38" s="34"/>
      <c r="L38" s="34"/>
      <c r="M38" s="34"/>
      <c r="N38" s="34"/>
      <c r="O38" s="34" t="str">
        <f>Currency</f>
        <v>USD</v>
      </c>
      <c r="P38" s="34"/>
      <c r="Q38" s="34"/>
      <c r="R38" s="34"/>
    </row>
    <row r="39" spans="2:18" ht="32" customHeight="1">
      <c r="B39" s="32" t="s">
        <v>119</v>
      </c>
      <c r="C39" s="32" t="s">
        <v>120</v>
      </c>
      <c r="D39" s="32" t="s">
        <v>60</v>
      </c>
      <c r="E39" s="32" t="s">
        <v>64</v>
      </c>
      <c r="F39" s="32" t="s">
        <v>121</v>
      </c>
      <c r="G39" s="32" t="s">
        <v>122</v>
      </c>
      <c r="H39" s="32" t="s">
        <v>123</v>
      </c>
      <c r="I39" s="32" t="s">
        <v>124</v>
      </c>
      <c r="J39" s="32" t="s">
        <v>125</v>
      </c>
      <c r="K39" s="32" t="s">
        <v>126</v>
      </c>
      <c r="L39" s="32" t="s">
        <v>65</v>
      </c>
      <c r="M39" s="32" t="s">
        <v>62</v>
      </c>
      <c r="N39" s="32" t="s">
        <v>127</v>
      </c>
      <c r="O39" s="32" t="s">
        <v>128</v>
      </c>
      <c r="P39" s="32" t="s">
        <v>129</v>
      </c>
      <c r="Q39" s="32" t="s">
        <v>130</v>
      </c>
      <c r="R39" s="32" t="s">
        <v>63</v>
      </c>
    </row>
    <row r="40" spans="2:18">
      <c r="B40" s="81">
        <v>46027</v>
      </c>
      <c r="C40" s="67" t="s">
        <v>433</v>
      </c>
      <c r="D40" s="67" t="s">
        <v>434</v>
      </c>
      <c r="E40" s="67" t="s">
        <v>109</v>
      </c>
      <c r="F40" s="67"/>
      <c r="G40" s="77">
        <v>600</v>
      </c>
      <c r="H40" s="67" t="s">
        <v>75</v>
      </c>
      <c r="I40" s="77">
        <v>0</v>
      </c>
      <c r="J40" s="77">
        <v>36000</v>
      </c>
      <c r="K40" s="37">
        <f>IF(tblVerifyWaste[[#This Row],[Date]]="","",IF(tblVerifyWaste[[#This Row],[Unit]]="kg",tblVerifyWaste[[#This Row],[Weight]],IF(tblVerifyWaste[[#This Row],[Unit]]="t",tblVerifyWaste[[#This Row],[Weight]]*1000,IF(tblVerifyWaste[[#This Row],[Unit]]="lb",tblVerifyWaste[[#This Row],[Weight]]*0.45359237,IF(tblVerifyWaste[[#This Row],[Unit]]="US ton",tblVerifyWaste[[#This Row],[Weight]]*907.18474,"")))))</f>
        <v>600000</v>
      </c>
      <c r="L40" s="67" t="s">
        <v>107</v>
      </c>
      <c r="M40" s="67" t="s">
        <v>83</v>
      </c>
      <c r="N40" s="37">
        <f>IF(tblVerifyWaste[[#This Row],[Date]]="","",IF(OR(tblVerifyWaste[[#This Row],[Weight (kg)]]="",tblVerifyWaste[[#This Row],[Class]]=""),"",IF(OR(tblVerifyWaste[[#This Row],[Class]]="Material recovery",AND(tblVerifyWaste[[#This Row],[Class]]="Energy recovery",$E$34="Yes")),tblVerifyWaste[[#This Row],[Weight (kg)]],0)))</f>
        <v>600000</v>
      </c>
      <c r="O40" s="30">
        <f>IF(tblVerifyWaste[[#This Row],[Date]]="","",N(tblVerifyWaste[[#This Row],[Charge]])-N(tblVerifyWaste[[#This Row],[Rebate]]))</f>
        <v>-36000</v>
      </c>
      <c r="P40" s="39">
        <f>IF(tblVerifyWaste[[#This Row],[Date]]="","",IF(AND(tblVerifyWaste[[#This Row],[Date]]&gt;=$E$32,tblVerifyWaste[[#This Row],[Date]]&lt;=$E$33),tblVerifyWaste[[#This Row],[Date]],""))</f>
        <v>46027</v>
      </c>
      <c r="Q40" s="40" t="str">
        <f>IF(tblVerifyWaste[[#This Row],[Date]]="","",IF(tblVerifyWaste[[#This Row],[Stream]]="","Missing stream",IF(tblVerifyWaste[[#This Row],[Route]]="","Missing route",IF(tblVerifyWaste[[#This Row],[Weight]]="","Missing weight",IF(tblVerifyWaste[[#This Row],[Unit]]="","Missing unit",IF(tblVerifyWaste[[#This Row],[Hazardous]]="","Stream not on Setup list",IF(tblVerifyWaste[[#This Row],[Class]]="","Route not on Setup list",IF(tblVerifyWaste[[#This Row],[Weight (kg)]]="","Unit must be kg, t, lb or US ton",IF(AND(tblVerifyWaste[[#This Row],[Hazardous]]="Yes",tblVerifyWaste[[#This Row],[Route]]="Landfill"),"Hazardous to landfill: check permit",IF(AND(tblVerifyWaste[[#This Row],[Ticket no.]]&lt;&gt;"",COUNTIFS(tblVerifyWaste[Ticket no.],tblVerifyWaste[[#This Row],[Ticket no.]])&gt;1),"Duplicate ticket","OK"))))))))))</f>
        <v>OK</v>
      </c>
      <c r="R40" s="67"/>
    </row>
    <row r="41" spans="2:18">
      <c r="B41" s="81">
        <v>46028</v>
      </c>
      <c r="C41" s="67" t="s">
        <v>435</v>
      </c>
      <c r="D41" s="67" t="s">
        <v>436</v>
      </c>
      <c r="E41" s="67" t="s">
        <v>113</v>
      </c>
      <c r="F41" s="67"/>
      <c r="G41" s="77">
        <v>80</v>
      </c>
      <c r="H41" s="67" t="s">
        <v>75</v>
      </c>
      <c r="I41" s="77">
        <v>51200</v>
      </c>
      <c r="J41" s="77">
        <v>0</v>
      </c>
      <c r="K41" s="37">
        <f>IF(tblVerifyWaste[[#This Row],[Date]]="","",IF(tblVerifyWaste[[#This Row],[Unit]]="kg",tblVerifyWaste[[#This Row],[Weight]],IF(tblVerifyWaste[[#This Row],[Unit]]="t",tblVerifyWaste[[#This Row],[Weight]]*1000,IF(tblVerifyWaste[[#This Row],[Unit]]="lb",tblVerifyWaste[[#This Row],[Weight]]*0.45359237,IF(tblVerifyWaste[[#This Row],[Unit]]="US ton",tblVerifyWaste[[#This Row],[Weight]]*907.18474,"")))))</f>
        <v>80000</v>
      </c>
      <c r="L41" s="67" t="s">
        <v>113</v>
      </c>
      <c r="M41" s="67" t="s">
        <v>73</v>
      </c>
      <c r="N41" s="37">
        <f>IF(tblVerifyWaste[[#This Row],[Date]]="","",IF(OR(tblVerifyWaste[[#This Row],[Weight (kg)]]="",tblVerifyWaste[[#This Row],[Class]]=""),"",IF(OR(tblVerifyWaste[[#This Row],[Class]]="Material recovery",AND(tblVerifyWaste[[#This Row],[Class]]="Energy recovery",$E$34="Yes")),tblVerifyWaste[[#This Row],[Weight (kg)]],0)))</f>
        <v>80000</v>
      </c>
      <c r="O41" s="30">
        <f>IF(tblVerifyWaste[[#This Row],[Date]]="","",N(tblVerifyWaste[[#This Row],[Charge]])-N(tblVerifyWaste[[#This Row],[Rebate]]))</f>
        <v>51200</v>
      </c>
      <c r="P41" s="39">
        <f>IF(tblVerifyWaste[[#This Row],[Date]]="","",IF(AND(tblVerifyWaste[[#This Row],[Date]]&gt;=$E$32,tblVerifyWaste[[#This Row],[Date]]&lt;=$E$33),tblVerifyWaste[[#This Row],[Date]],""))</f>
        <v>46028</v>
      </c>
      <c r="Q41" s="40" t="str">
        <f>IF(tblVerifyWaste[[#This Row],[Date]]="","",IF(tblVerifyWaste[[#This Row],[Stream]]="","Missing stream",IF(tblVerifyWaste[[#This Row],[Route]]="","Missing route",IF(tblVerifyWaste[[#This Row],[Weight]]="","Missing weight",IF(tblVerifyWaste[[#This Row],[Unit]]="","Missing unit",IF(tblVerifyWaste[[#This Row],[Hazardous]]="","Stream not on Setup list",IF(tblVerifyWaste[[#This Row],[Class]]="","Route not on Setup list",IF(tblVerifyWaste[[#This Row],[Weight (kg)]]="","Unit must be kg, t, lb or US ton",IF(AND(tblVerifyWaste[[#This Row],[Hazardous]]="Yes",tblVerifyWaste[[#This Row],[Route]]="Landfill"),"Hazardous to landfill: check permit",IF(AND(tblVerifyWaste[[#This Row],[Ticket no.]]&lt;&gt;"",COUNTIFS(tblVerifyWaste[Ticket no.],tblVerifyWaste[[#This Row],[Ticket no.]])&gt;1),"Duplicate ticket","OK"))))))))))</f>
        <v>OK</v>
      </c>
      <c r="R41" s="67"/>
    </row>
    <row r="42" spans="2:18">
      <c r="B42" s="81">
        <v>46029</v>
      </c>
      <c r="C42" s="67" t="s">
        <v>437</v>
      </c>
      <c r="D42" s="67" t="s">
        <v>438</v>
      </c>
      <c r="E42" s="67" t="s">
        <v>118</v>
      </c>
      <c r="F42" s="67"/>
      <c r="G42" s="77">
        <v>170</v>
      </c>
      <c r="H42" s="67" t="s">
        <v>75</v>
      </c>
      <c r="I42" s="77">
        <v>20060</v>
      </c>
      <c r="J42" s="77">
        <v>0</v>
      </c>
      <c r="K42" s="37">
        <f>IF(tblVerifyWaste[[#This Row],[Date]]="","",IF(tblVerifyWaste[[#This Row],[Unit]]="kg",tblVerifyWaste[[#This Row],[Weight]],IF(tblVerifyWaste[[#This Row],[Unit]]="t",tblVerifyWaste[[#This Row],[Weight]]*1000,IF(tblVerifyWaste[[#This Row],[Unit]]="lb",tblVerifyWaste[[#This Row],[Weight]]*0.45359237,IF(tblVerifyWaste[[#This Row],[Unit]]="US ton",tblVerifyWaste[[#This Row],[Weight]]*907.18474,"")))))</f>
        <v>170000</v>
      </c>
      <c r="L42" s="67" t="s">
        <v>116</v>
      </c>
      <c r="M42" s="67" t="s">
        <v>83</v>
      </c>
      <c r="N42" s="37">
        <f>IF(tblVerifyWaste[[#This Row],[Date]]="","",IF(OR(tblVerifyWaste[[#This Row],[Weight (kg)]]="",tblVerifyWaste[[#This Row],[Class]]=""),"",IF(OR(tblVerifyWaste[[#This Row],[Class]]="Material recovery",AND(tblVerifyWaste[[#This Row],[Class]]="Energy recovery",$E$34="Yes")),tblVerifyWaste[[#This Row],[Weight (kg)]],0)))</f>
        <v>0</v>
      </c>
      <c r="O42" s="30">
        <f>IF(tblVerifyWaste[[#This Row],[Date]]="","",N(tblVerifyWaste[[#This Row],[Charge]])-N(tblVerifyWaste[[#This Row],[Rebate]]))</f>
        <v>20060</v>
      </c>
      <c r="P42" s="39">
        <f>IF(tblVerifyWaste[[#This Row],[Date]]="","",IF(AND(tblVerifyWaste[[#This Row],[Date]]&gt;=$E$32,tblVerifyWaste[[#This Row],[Date]]&lt;=$E$33),tblVerifyWaste[[#This Row],[Date]],""))</f>
        <v>46029</v>
      </c>
      <c r="Q42" s="40" t="str">
        <f>IF(tblVerifyWaste[[#This Row],[Date]]="","",IF(tblVerifyWaste[[#This Row],[Stream]]="","Missing stream",IF(tblVerifyWaste[[#This Row],[Route]]="","Missing route",IF(tblVerifyWaste[[#This Row],[Weight]]="","Missing weight",IF(tblVerifyWaste[[#This Row],[Unit]]="","Missing unit",IF(tblVerifyWaste[[#This Row],[Hazardous]]="","Stream not on Setup list",IF(tblVerifyWaste[[#This Row],[Class]]="","Route not on Setup list",IF(tblVerifyWaste[[#This Row],[Weight (kg)]]="","Unit must be kg, t, lb or US ton",IF(AND(tblVerifyWaste[[#This Row],[Hazardous]]="Yes",tblVerifyWaste[[#This Row],[Route]]="Landfill"),"Hazardous to landfill: check permit",IF(AND(tblVerifyWaste[[#This Row],[Ticket no.]]&lt;&gt;"",COUNTIFS(tblVerifyWaste[Ticket no.],tblVerifyWaste[[#This Row],[Ticket no.]])&gt;1),"Duplicate ticket","OK"))))))))))</f>
        <v>OK</v>
      </c>
      <c r="R42" s="67"/>
    </row>
    <row r="43" spans="2:18">
      <c r="B43" s="81">
        <v>46030</v>
      </c>
      <c r="C43" s="67" t="s">
        <v>439</v>
      </c>
      <c r="D43" s="67" t="s">
        <v>440</v>
      </c>
      <c r="E43" s="67" t="s">
        <v>109</v>
      </c>
      <c r="F43" s="67"/>
      <c r="G43" s="77">
        <v>2000</v>
      </c>
      <c r="H43" s="67" t="s">
        <v>441</v>
      </c>
      <c r="I43" s="77">
        <v>0</v>
      </c>
      <c r="J43" s="77">
        <v>130</v>
      </c>
      <c r="K43" s="37">
        <f>IF(tblVerifyWaste[[#This Row],[Date]]="","",IF(tblVerifyWaste[[#This Row],[Unit]]="kg",tblVerifyWaste[[#This Row],[Weight]],IF(tblVerifyWaste[[#This Row],[Unit]]="t",tblVerifyWaste[[#This Row],[Weight]]*1000,IF(tblVerifyWaste[[#This Row],[Unit]]="lb",tblVerifyWaste[[#This Row],[Weight]]*0.45359237,IF(tblVerifyWaste[[#This Row],[Unit]]="US ton",tblVerifyWaste[[#This Row],[Weight]]*907.18474,"")))))</f>
        <v>907.18474</v>
      </c>
      <c r="L43" s="67" t="s">
        <v>107</v>
      </c>
      <c r="M43" s="67" t="s">
        <v>83</v>
      </c>
      <c r="N43" s="37">
        <f>IF(tblVerifyWaste[[#This Row],[Date]]="","",IF(OR(tblVerifyWaste[[#This Row],[Weight (kg)]]="",tblVerifyWaste[[#This Row],[Class]]=""),"",IF(OR(tblVerifyWaste[[#This Row],[Class]]="Material recovery",AND(tblVerifyWaste[[#This Row],[Class]]="Energy recovery",$E$34="Yes")),tblVerifyWaste[[#This Row],[Weight (kg)]],0)))</f>
        <v>907.18474</v>
      </c>
      <c r="O43" s="30">
        <f>IF(tblVerifyWaste[[#This Row],[Date]]="","",N(tblVerifyWaste[[#This Row],[Charge]])-N(tblVerifyWaste[[#This Row],[Rebate]]))</f>
        <v>-130</v>
      </c>
      <c r="P43" s="39">
        <f>IF(tblVerifyWaste[[#This Row],[Date]]="","",IF(AND(tblVerifyWaste[[#This Row],[Date]]&gt;=$E$32,tblVerifyWaste[[#This Row],[Date]]&lt;=$E$33),tblVerifyWaste[[#This Row],[Date]],""))</f>
        <v>46030</v>
      </c>
      <c r="Q43" s="40" t="str">
        <f>IF(tblVerifyWaste[[#This Row],[Date]]="","",IF(tblVerifyWaste[[#This Row],[Stream]]="","Missing stream",IF(tblVerifyWaste[[#This Row],[Route]]="","Missing route",IF(tblVerifyWaste[[#This Row],[Weight]]="","Missing weight",IF(tblVerifyWaste[[#This Row],[Unit]]="","Missing unit",IF(tblVerifyWaste[[#This Row],[Hazardous]]="","Stream not on Setup list",IF(tblVerifyWaste[[#This Row],[Class]]="","Route not on Setup list",IF(tblVerifyWaste[[#This Row],[Weight (kg)]]="","Unit must be kg, t, lb or US ton",IF(AND(tblVerifyWaste[[#This Row],[Hazardous]]="Yes",tblVerifyWaste[[#This Row],[Route]]="Landfill"),"Hazardous to landfill: check permit",IF(AND(tblVerifyWaste[[#This Row],[Ticket no.]]&lt;&gt;"",COUNTIFS(tblVerifyWaste[Ticket no.],tblVerifyWaste[[#This Row],[Ticket no.]])&gt;1),"Duplicate ticket","OK"))))))))))</f>
        <v>OK</v>
      </c>
      <c r="R43" s="67"/>
    </row>
    <row r="44" spans="2:18">
      <c r="B44" s="81">
        <v>46031</v>
      </c>
      <c r="C44" s="67" t="s">
        <v>442</v>
      </c>
      <c r="D44" s="67" t="s">
        <v>438</v>
      </c>
      <c r="E44" s="67" t="s">
        <v>118</v>
      </c>
      <c r="F44" s="67"/>
      <c r="G44" s="77">
        <v>1.5</v>
      </c>
      <c r="H44" s="67" t="s">
        <v>443</v>
      </c>
      <c r="I44" s="77">
        <v>160</v>
      </c>
      <c r="J44" s="77">
        <v>0</v>
      </c>
      <c r="K44" s="37">
        <f>IF(tblVerifyWaste[[#This Row],[Date]]="","",IF(tblVerifyWaste[[#This Row],[Unit]]="kg",tblVerifyWaste[[#This Row],[Weight]],IF(tblVerifyWaste[[#This Row],[Unit]]="t",tblVerifyWaste[[#This Row],[Weight]]*1000,IF(tblVerifyWaste[[#This Row],[Unit]]="lb",tblVerifyWaste[[#This Row],[Weight]]*0.45359237,IF(tblVerifyWaste[[#This Row],[Unit]]="US ton",tblVerifyWaste[[#This Row],[Weight]]*907.18474,"")))))</f>
        <v>1360.77711</v>
      </c>
      <c r="L44" s="67" t="s">
        <v>116</v>
      </c>
      <c r="M44" s="67" t="s">
        <v>83</v>
      </c>
      <c r="N44" s="37">
        <f>IF(tblVerifyWaste[[#This Row],[Date]]="","",IF(OR(tblVerifyWaste[[#This Row],[Weight (kg)]]="",tblVerifyWaste[[#This Row],[Class]]=""),"",IF(OR(tblVerifyWaste[[#This Row],[Class]]="Material recovery",AND(tblVerifyWaste[[#This Row],[Class]]="Energy recovery",$E$34="Yes")),tblVerifyWaste[[#This Row],[Weight (kg)]],0)))</f>
        <v>0</v>
      </c>
      <c r="O44" s="30">
        <f>IF(tblVerifyWaste[[#This Row],[Date]]="","",N(tblVerifyWaste[[#This Row],[Charge]])-N(tblVerifyWaste[[#This Row],[Rebate]]))</f>
        <v>160</v>
      </c>
      <c r="P44" s="39">
        <f>IF(tblVerifyWaste[[#This Row],[Date]]="","",IF(AND(tblVerifyWaste[[#This Row],[Date]]&gt;=$E$32,tblVerifyWaste[[#This Row],[Date]]&lt;=$E$33),tblVerifyWaste[[#This Row],[Date]],""))</f>
        <v>46031</v>
      </c>
      <c r="Q44" s="40" t="str">
        <f>IF(tblVerifyWaste[[#This Row],[Date]]="","",IF(tblVerifyWaste[[#This Row],[Stream]]="","Missing stream",IF(tblVerifyWaste[[#This Row],[Route]]="","Missing route",IF(tblVerifyWaste[[#This Row],[Weight]]="","Missing weight",IF(tblVerifyWaste[[#This Row],[Unit]]="","Missing unit",IF(tblVerifyWaste[[#This Row],[Hazardous]]="","Stream not on Setup list",IF(tblVerifyWaste[[#This Row],[Class]]="","Route not on Setup list",IF(tblVerifyWaste[[#This Row],[Weight (kg)]]="","Unit must be kg, t, lb or US ton",IF(AND(tblVerifyWaste[[#This Row],[Hazardous]]="Yes",tblVerifyWaste[[#This Row],[Route]]="Landfill"),"Hazardous to landfill: check permit",IF(AND(tblVerifyWaste[[#This Row],[Ticket no.]]&lt;&gt;"",COUNTIFS(tblVerifyWaste[Ticket no.],tblVerifyWaste[[#This Row],[Ticket no.]])&gt;1),"Duplicate ticket","OK"))))))))))</f>
        <v>OK</v>
      </c>
      <c r="R44" s="67"/>
    </row>
    <row r="45" spans="2:18">
      <c r="B45" s="81">
        <v>46031</v>
      </c>
      <c r="C45" s="67" t="s">
        <v>444</v>
      </c>
      <c r="D45" s="67" t="s">
        <v>436</v>
      </c>
      <c r="E45" s="67" t="s">
        <v>118</v>
      </c>
      <c r="F45" s="67"/>
      <c r="G45" s="77">
        <v>0</v>
      </c>
      <c r="H45" s="67" t="s">
        <v>77</v>
      </c>
      <c r="I45" s="77">
        <v>0</v>
      </c>
      <c r="J45" s="77">
        <v>0</v>
      </c>
      <c r="K45" s="37">
        <f>IF(tblVerifyWaste[[#This Row],[Date]]="","",IF(tblVerifyWaste[[#This Row],[Unit]]="kg",tblVerifyWaste[[#This Row],[Weight]],IF(tblVerifyWaste[[#This Row],[Unit]]="t",tblVerifyWaste[[#This Row],[Weight]]*1000,IF(tblVerifyWaste[[#This Row],[Unit]]="lb",tblVerifyWaste[[#This Row],[Weight]]*0.45359237,IF(tblVerifyWaste[[#This Row],[Unit]]="US ton",tblVerifyWaste[[#This Row],[Weight]]*907.18474,"")))))</f>
        <v>0</v>
      </c>
      <c r="L45" s="67" t="s">
        <v>116</v>
      </c>
      <c r="M45" s="67" t="s">
        <v>73</v>
      </c>
      <c r="N45" s="37">
        <f>IF(tblVerifyWaste[[#This Row],[Date]]="","",IF(OR(tblVerifyWaste[[#This Row],[Weight (kg)]]="",tblVerifyWaste[[#This Row],[Class]]=""),"",IF(OR(tblVerifyWaste[[#This Row],[Class]]="Material recovery",AND(tblVerifyWaste[[#This Row],[Class]]="Energy recovery",$E$34="Yes")),tblVerifyWaste[[#This Row],[Weight (kg)]],0)))</f>
        <v>0</v>
      </c>
      <c r="O45" s="30">
        <f>IF(tblVerifyWaste[[#This Row],[Date]]="","",N(tblVerifyWaste[[#This Row],[Charge]])-N(tblVerifyWaste[[#This Row],[Rebate]]))</f>
        <v>0</v>
      </c>
      <c r="P45" s="39">
        <f>IF(tblVerifyWaste[[#This Row],[Date]]="","",IF(AND(tblVerifyWaste[[#This Row],[Date]]&gt;=$E$32,tblVerifyWaste[[#This Row],[Date]]&lt;=$E$33),tblVerifyWaste[[#This Row],[Date]],""))</f>
        <v>46031</v>
      </c>
      <c r="Q45" s="40" t="str">
        <f>IF(tblVerifyWaste[[#This Row],[Date]]="","",IF(tblVerifyWaste[[#This Row],[Stream]]="","Missing stream",IF(tblVerifyWaste[[#This Row],[Route]]="","Missing route",IF(tblVerifyWaste[[#This Row],[Weight]]="","Missing weight",IF(tblVerifyWaste[[#This Row],[Unit]]="","Missing unit",IF(tblVerifyWaste[[#This Row],[Hazardous]]="","Stream not on Setup list",IF(tblVerifyWaste[[#This Row],[Class]]="","Route not on Setup list",IF(tblVerifyWaste[[#This Row],[Weight (kg)]]="","Unit must be kg, t, lb or US ton",IF(AND(tblVerifyWaste[[#This Row],[Hazardous]]="Yes",tblVerifyWaste[[#This Row],[Route]]="Landfill"),"Hazardous to landfill: check permit",IF(AND(tblVerifyWaste[[#This Row],[Ticket no.]]&lt;&gt;"",COUNTIFS(tblVerifyWaste[Ticket no.],tblVerifyWaste[[#This Row],[Ticket no.]])&gt;1),"Duplicate ticket","OK"))))))))))</f>
        <v>Hazardous to landfill: check permit</v>
      </c>
      <c r="R45" s="67"/>
    </row>
  </sheetData>
  <sheetProtection sheet="1" formatColumns="0" formatRows="0"/>
  <mergeCells count="33">
    <mergeCell ref="A1:R1"/>
    <mergeCell ref="B2:Q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B28:L28"/>
    <mergeCell ref="B30:L30"/>
    <mergeCell ref="B31:F31"/>
    <mergeCell ref="B32:D32"/>
    <mergeCell ref="B33:D33"/>
    <mergeCell ref="B34:D34"/>
    <mergeCell ref="E34:F34"/>
    <mergeCell ref="B35:D35"/>
    <mergeCell ref="B37:L37"/>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Q40:Q45">
    <cfRule type="expression" dxfId="3" priority="41">
      <formula>$Q40="OK"</formula>
    </cfRule>
    <cfRule type="expression" dxfId="1" priority="42">
      <formula>AND($Q40&lt;&gt;"",$Q40&lt;&gt;"OK")</formula>
    </cfRule>
  </conditionalFormatting>
  <hyperlinks>
    <hyperlink ref="R2" r:id="rId1" tooltip="Free manufacturing calculators and templates"/>
  </hyperlinks>
  <printOptions horizontalCentered="1"/>
  <pageMargins left="0.4" right="0.4" top="0.7" bottom="0.65" header="0.3" footer="0.3"/>
  <pageSetup fitToHeight="0" orientation="landscape"/>
  <headerFooter>
    <oddHeader>&amp;L&amp;8MFG Calcs - Waste and Recycling Tracker&amp;R&amp;8&amp;A</oddHeader>
    <oddFooter>&amp;L&amp;8mfgcalcs.com - free manufacturing templates&amp;R&amp;8Page &amp;P of &amp;N</oddFooter>
  </headerFooter>
  <rowBreaks count="1" manualBreakCount="1">
    <brk id="36"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26</vt:i4>
      </vt:variant>
    </vt:vector>
  </HeadingPairs>
  <TitlesOfParts>
    <vt:vector size="32" baseType="lpstr">
      <vt:lpstr>Start Here</vt:lpstr>
      <vt:lpstr>Setup</vt:lpstr>
      <vt:lpstr>Waste Log</vt:lpstr>
      <vt:lpstr>Dashboard</vt:lpstr>
      <vt:lpstr>Method</vt:lpstr>
      <vt:lpstr>Verify</vt:lpstr>
      <vt:lpstr>CountER</vt:lpstr>
      <vt:lpstr>Currency</vt:lpstr>
      <vt:lpstr>DashFrom</vt:lpstr>
      <vt:lpstr>DashTo</vt:lpstr>
      <vt:lpstr>KgPerUnit</vt:lpstr>
      <vt:lpstr>KpiDisp</vt:lpstr>
      <vt:lpstr>KpiHaz</vt:lpstr>
      <vt:lpstr>KpiNet</vt:lpstr>
      <vt:lpstr>KpiNetPer</vt:lpstr>
      <vt:lpstr>KpiRate</vt:lpstr>
      <vt:lpstr>KpiRebate</vt:lpstr>
      <vt:lpstr>KpiTop</vt:lpstr>
      <vt:lpstr>KpiTotal</vt:lpstr>
      <vt:lpstr>PlantName</vt:lpstr>
      <vt:lpstr>Dashboard!Print_Area</vt:lpstr>
      <vt:lpstr>Method!Print_Area</vt:lpstr>
      <vt:lpstr>Setup!Print_Area</vt:lpstr>
      <vt:lpstr>'Start Here'!Print_Area</vt:lpstr>
      <vt:lpstr>Verify!Print_Area</vt:lpstr>
      <vt:lpstr>'Waste Log'!Print_Area</vt:lpstr>
      <vt:lpstr>Method!Print_Titles</vt:lpstr>
      <vt:lpstr>'Waste Log'!Print_Titles</vt:lpstr>
      <vt:lpstr>ReportUnit</vt:lpstr>
      <vt:lpstr>SelfCheck</vt:lpstr>
      <vt:lpstr>SelfCheckSummary</vt:lpstr>
      <vt:lpstr>TargetDiv</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Waste and Recycling Tracker - free Excel template from MFG Calcs</dc:title>
  <dc:subject>Log every waste collection and see the diversion rate, tonnes by stream and route, hazardous waste and net cost after rebates.</dc:subject>
  <dc:creator>MFG Calcs</dc:creator>
  <cp:keywords>waste tracker, recycling, landfill diversion rate, zero waste to landfill, hazardous waste, waste cost, hauler, circular economy</cp:keywords>
  <dc:description>https://www.mfgcalcs.com/templates/waste-diversion-tracker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waste-diversion-tracker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https://www.mfgcalcs.com/templates/waste-diversion-tracker</vt:lpwstr>
  </property>
  <property fmtid="{D5CDD505-2E9C-101B-9397-08002B2CF9AE}" pid="7" name="Template sheet roles">
    <vt:lpwstr>Start Here=start;Setup=setup;Waste Log=work;Dashboard=dashboard;Method=method;Verify=verify</vt:lpwstr>
  </property>
</Properties>
</file>