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Monthly Water" sheetId="3" r:id="rId3"/>
    <sheet name="Sub-meters" sheetId="4" r:id="rId4"/>
    <sheet name="Dashboard" sheetId="5" r:id="rId5"/>
    <sheet name="Method" sheetId="6" r:id="rId6"/>
    <sheet name="Verify" sheetId="7" r:id="rId7"/>
  </sheets>
  <definedNames>
    <definedName name="Currency">Setup!$C$7</definedName>
    <definedName name="DashEnd">Dashboard!$D$4</definedName>
    <definedName name="FEnd">IF(DashEnd="",IF(COUNT(tblWater[Month])=0,0,MAX(tblWater[Month])),DATE(YEAR(DashEnd),MONTH(DashEnd),1))</definedName>
    <definedName name="FStart">IF(FEnd=0,0,EDATE(FEnd,-11))</definedName>
    <definedName name="KpiCost">Dashboard!$G$9</definedName>
    <definedName name="KpiCPM3">Dashboard!$G$31</definedName>
    <definedName name="KpiCPU">Dashboard!$J$9</definedName>
    <definedName name="KpiDisch">Dashboard!$D$31</definedName>
    <definedName name="KpiInt">Dashboard!$D$9</definedName>
    <definedName name="KpiIntake">Dashboard!$B$9</definedName>
    <definedName name="KpiReuse">Dashboard!$B$31</definedName>
    <definedName name="KpiUnmet">Dashboard!$J$31</definedName>
    <definedName name="M3PerUnit">Setup!$C$9</definedName>
    <definedName name="Metered">Dashboard!$K$69</definedName>
    <definedName name="Meters">tblMeters[Meter]</definedName>
    <definedName name="MonthsShown">Dashboard!$I$4</definedName>
    <definedName name="OutputUnit">Setup!$C$10</definedName>
    <definedName name="PlantName">Setup!$C$6</definedName>
    <definedName name="_xlnm.Print_Area" localSheetId="4">Dashboard!$A$1:$L$79</definedName>
    <definedName name="_xlnm.Print_Area" localSheetId="5">Method!$A$1:$D$54</definedName>
    <definedName name="_xlnm.Print_Area" localSheetId="2">'Monthly Water'!$A$1:$V$18</definedName>
    <definedName name="_xlnm.Print_Area" localSheetId="1">Setup!$A$1:$E$26</definedName>
    <definedName name="_xlnm.Print_Area" localSheetId="0">'Start Here'!$A$1:$F$57</definedName>
    <definedName name="_xlnm.Print_Area" localSheetId="3">'Sub-meters'!$A$1:$H$78</definedName>
    <definedName name="_xlnm.Print_Area" localSheetId="6">Verify!$A$1:$V$57</definedName>
    <definedName name="_xlnm.Print_Titles" localSheetId="5">Method!$1:$2</definedName>
    <definedName name="_xlnm.Print_Titles" localSheetId="2">'Monthly Water'!$1:$6</definedName>
    <definedName name="_xlnm.Print_Titles" localSheetId="3">'Sub-meters'!$1:$6</definedName>
    <definedName name="SelfCheck">Verify!$D$4</definedName>
    <definedName name="SelfCheckSummary">Verify!$F$4</definedName>
    <definedName name="ShowFrom">Dashboard!$D$5</definedName>
    <definedName name="ShowTo">Dashboard!$I$5</definedName>
    <definedName name="TargetIntensity">Setup!$C$11</definedName>
    <definedName name="Unmetered">Dashboard!$K$70</definedName>
    <definedName name="UnmeteredLimit">Setup!$C$12</definedName>
    <definedName name="VolUnit">Setup!$C$8</definedName>
  </definedNames>
  <calcPr calcId="124519" fullCalcOnLoad="1"/>
</workbook>
</file>

<file path=xl/sharedStrings.xml><?xml version="1.0" encoding="utf-8"?>
<sst xmlns="http://schemas.openxmlformats.org/spreadsheetml/2006/main" count="565" uniqueCount="245">
  <si>
    <t>Water Use Tracker</t>
  </si>
  <si>
    <t>Read this first: what the workbook does and how to use it.</t>
  </si>
  <si>
    <t>mfgcalcs.com</t>
  </si>
  <si>
    <t>Log monthly water intake, discharge, charges and sub-meters, and see water per unit of output, cost per unit and leaks.</t>
  </si>
  <si>
    <t>For: Plant, utilities and EHS managers in food and beverage, chemical and other water-intensive plants, and anyone with a water reduction target.</t>
  </si>
  <si>
    <t>Version 1.0.0  ·  updated 15 October 2026</t>
  </si>
  <si>
    <t>Quick start</t>
  </si>
  <si>
    <t>1.</t>
  </si>
  <si>
    <t>On Setup, type your plant name, currency, the volume unit your meters and bills use, your unit of output and targets, then replace the example sub-meters.</t>
  </si>
  <si>
    <t>2.</t>
  </si>
  <si>
    <t>On Monthly Water, add one row per month: intake by source, recycled water used, discharge, supply and wastewater charges, and production.</t>
  </si>
  <si>
    <t>3.</t>
  </si>
  <si>
    <t>On Sub-meters, add each meter's volume per month to see where the water goes and how much is unmetered.</t>
  </si>
  <si>
    <t>4.</t>
  </si>
  <si>
    <t>Read the Check columns: anything other than OK names the problem in words.</t>
  </si>
  <si>
    <t>5.</t>
  </si>
  <si>
    <t>Open the Dashboard; change the '12 months ending' date to look at any year.</t>
  </si>
  <si>
    <t>What is in this workbook</t>
  </si>
  <si>
    <t>Start Here</t>
  </si>
  <si>
    <t>Setup</t>
  </si>
  <si>
    <t>Plant, currency, volume unit, output unit, targets and the sub-meter list.</t>
  </si>
  <si>
    <t>Monthly Water</t>
  </si>
  <si>
    <t>One row per month: intake by source, reuse, discharge, charges and production.</t>
  </si>
  <si>
    <t>Sub-meters</t>
  </si>
  <si>
    <t>Water per sub-meter per month: where the water goes.</t>
  </si>
  <si>
    <t>Dashboard</t>
  </si>
  <si>
    <t>Water intake, intensity, cost, reuse and where the water goes, for any 12 months.</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</si>
  <si>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</si>
  <si>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</si>
  <si>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</si>
  <si>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</si>
  <si>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</si>
  <si>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</si>
  <si>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</si>
  <si>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</si>
  <si>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</si>
  <si>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</si>
  <si>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</si>
  <si>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</si>
  <si>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</si>
  <si>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</si>
  <si>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</si>
  <si>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</si>
  <si>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</si>
  <si>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</si>
  <si>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</si>
  <si>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</si>
  <si>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Industrial Water Cost Per Unit Calculator on mfgcalcs.com</t>
  </si>
  <si>
    <t>Latest version</t>
  </si>
  <si>
    <t>mfgcalcs.com/templates/water-use-tracker</t>
  </si>
  <si>
    <t>More free templates</t>
  </si>
  <si>
    <t>mfgcalcs.com/templates</t>
  </si>
  <si>
    <t>Version</t>
  </si>
  <si>
    <t>1.0.0 (updated 15 October 2026)</t>
  </si>
  <si>
    <t>About the example data</t>
  </si>
  <si>
    <t>Every number already in this workbook is example data for Kestrel Beverages, a fictional business invented for this template, so the dashboard and charts show something meaningful on day one. It covers a juice and soft drinks bottler from October 2025 to September 2026: monthly intake, discharge and charges and six sub-meters, generated from a fixed seed. Charges are example amounts, not any utility's prices.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</si>
  <si>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</si>
  <si>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</si>
  <si>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</si>
  <si>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</si>
  <si>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</si>
  <si>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</si>
  <si>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</si>
  <si>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</si>
  <si>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Meter</t>
  </si>
  <si>
    <t>Use</t>
  </si>
  <si>
    <t>Notes</t>
  </si>
  <si>
    <t>Plant, units and targets</t>
  </si>
  <si>
    <t>Plant name</t>
  </si>
  <si>
    <t>Kestrel Beverages (example)</t>
  </si>
  <si>
    <t>Currency label</t>
  </si>
  <si>
    <t>EUR</t>
  </si>
  <si>
    <t>Volume unit on the logs</t>
  </si>
  <si>
    <t>m3</t>
  </si>
  <si>
    <t>m3 per volume unit</t>
  </si>
  <si>
    <t>Unit of output</t>
  </si>
  <si>
    <t>kL product</t>
  </si>
  <si>
    <t>Water intensity target</t>
  </si>
  <si>
    <t>Unmetered water limit</t>
  </si>
  <si>
    <t>Targets and limits are yours to set; nothing in this workbook assumes an industry benchmark. 'Near target' means within 5% of the target: up to 2.31 m3 per unit against a 2.20 target.</t>
  </si>
  <si>
    <t>Sub-meters (example)</t>
  </si>
  <si>
    <t>One row per sub-meter or use area. The Sub-meters log reads this list; the Dashboard shows each meter's share of intake and the unmetered rest.</t>
  </si>
  <si>
    <t>Syrup and blending</t>
  </si>
  <si>
    <t>Product water</t>
  </si>
  <si>
    <t>Treated water into the product</t>
  </si>
  <si>
    <t>Bottle rinser</t>
  </si>
  <si>
    <t>Process</t>
  </si>
  <si>
    <t/>
  </si>
  <si>
    <t>CIP</t>
  </si>
  <si>
    <t>Cleaning</t>
  </si>
  <si>
    <t>Clean-in-place for tanks and fillers</t>
  </si>
  <si>
    <t>Boiler make-up</t>
  </si>
  <si>
    <t>Utilities</t>
  </si>
  <si>
    <t>Cooling tower</t>
  </si>
  <si>
    <t>Evaporation and blowdown</t>
  </si>
  <si>
    <t>Washrooms and canteen</t>
  </si>
  <si>
    <t>Domestic</t>
  </si>
  <si>
    <t>Month</t>
  </si>
  <si>
    <t>Mains</t>
  </si>
  <si>
    <t>Groundwater</t>
  </si>
  <si>
    <t>Other intake</t>
  </si>
  <si>
    <t>Recycled water</t>
  </si>
  <si>
    <t>Discharge</t>
  </si>
  <si>
    <t>Supply charges</t>
  </si>
  <si>
    <t>Wastewater charges</t>
  </si>
  <si>
    <t>Production</t>
  </si>
  <si>
    <t>Intake (m3)</t>
  </si>
  <si>
    <t>Recycled (m3)</t>
  </si>
  <si>
    <t>Discharge (m3)</t>
  </si>
  <si>
    <t>Consumed (m3)</t>
  </si>
  <si>
    <t>Water cost</t>
  </si>
  <si>
    <t>Intensity</t>
  </si>
  <si>
    <t>Cost per m3</t>
  </si>
  <si>
    <t>Cost per unit</t>
  </si>
  <si>
    <t>Reuse share</t>
  </si>
  <si>
    <t>Intensity status</t>
  </si>
  <si>
    <t>Check</t>
  </si>
  <si>
    <t>Example data for Kestrel Beverages (fictional), with example charges. Replace it with your own: select the example rows, right-click, Delete &gt; Table Rows. Volumes are in the unit chosen on Setup (row above the headers).</t>
  </si>
  <si>
    <t>%</t>
  </si>
  <si>
    <t>CIP final-rinse recovery tank commissioned</t>
  </si>
  <si>
    <t>Leak on the buried main to the cooling tower, repaired 29 June</t>
  </si>
  <si>
    <t>Borehole pump failed for four days: tanker water bought</t>
  </si>
  <si>
    <t>Volume</t>
  </si>
  <si>
    <t>Volume (m3)</t>
  </si>
  <si>
    <t>Share of intake</t>
  </si>
  <si>
    <t>Example data for Kestrel Beverages (fictional): six sub-meters, twelve months. Replace it with your own readings.</t>
  </si>
  <si>
    <t>12 months ending</t>
  </si>
  <si>
    <t>Months in the log shown</t>
  </si>
  <si>
    <t>First month shown</t>
  </si>
  <si>
    <t>Last month shown</t>
  </si>
  <si>
    <t>WATER INTAKE (M3)</t>
  </si>
  <si>
    <t>All sources, months shown</t>
  </si>
  <si>
    <t>Supply plus wastewater charges</t>
  </si>
  <si>
    <t>Water cost / production</t>
  </si>
  <si>
    <t>RECYCLED SHARE OF WATER USED</t>
  </si>
  <si>
    <t>RETURNED AS WASTEWATER</t>
  </si>
  <si>
    <t>UNMETERED WATER</t>
  </si>
  <si>
    <t>Recycled / (intake + recycled)</t>
  </si>
  <si>
    <t>Discharge / intake</t>
  </si>
  <si>
    <t>Water cost / intake</t>
  </si>
  <si>
    <t>By month</t>
  </si>
  <si>
    <t>Mains (m3)</t>
  </si>
  <si>
    <t>Groundwater (m3)</t>
  </si>
  <si>
    <t>Other intake (m3)</t>
  </si>
  <si>
    <t>Intensity target</t>
  </si>
  <si>
    <t>Unmetered</t>
  </si>
  <si>
    <t>Where the water goes (12 months shown)</t>
  </si>
  <si>
    <t>Unmetered water (same months)</t>
  </si>
  <si>
    <t>Sub-meter</t>
  </si>
  <si>
    <t>Water (m3)</t>
  </si>
  <si>
    <t>Per unit of output</t>
  </si>
  <si>
    <t>Cost at average rate (est.)</t>
  </si>
  <si>
    <t>Seen by the sub-meters</t>
  </si>
  <si>
    <t>Unmetered and losses</t>
  </si>
  <si>
    <t>The Dashboard shows the 6 sub-meters of the Setup list. If you add more, extend the 'Where the water goes' block (see Method) or they will not appear here; the unmetered line still counts them.</t>
  </si>
  <si>
    <t>What this workbook calculates</t>
  </si>
  <si>
    <t>Water intensity is the water a plant takes in per unit of good output. This workbook builds it month by month from the intake by source, with recycled water, discharge and the charges alongside, and converts every volume exactly to m3 from the unit on Setup. Sub-meters show where the water goes; what they do not see is unmetered water, the first place to look for leaks. Every Dashboard ratio is formed from sums, never an average of monthly ratios.</t>
  </si>
  <si>
    <t>Calculations</t>
  </si>
  <si>
    <t>Quantity</t>
  </si>
  <si>
    <t>How it is calculated</t>
  </si>
  <si>
    <t>Units</t>
  </si>
  <si>
    <t>Volume conversion</t>
  </si>
  <si>
    <t>Typed volume x m3 per unit: 1 for m3 and kL, 0.001 for L, 0.003785411784 for US gal, 0.00454609 for imp gal.</t>
  </si>
  <si>
    <t>Intake</t>
  </si>
  <si>
    <t>(Mains + groundwater + other intake) x m3 per unit. Recycled water is not intake.</t>
  </si>
  <si>
    <t>Consumed</t>
  </si>
  <si>
    <t>Intake - discharge: water that left in product, by evaporation or as losses.</t>
  </si>
  <si>
    <t>Supply charges + wastewater charges.</t>
  </si>
  <si>
    <t>currency</t>
  </si>
  <si>
    <t>Intake / production. Over several months: total intake / total production. Status: On target at or below the target, Near target up to 5% above.</t>
  </si>
  <si>
    <t>m3/unit</t>
  </si>
  <si>
    <t>Cost per m3, cost per unit</t>
  </si>
  <si>
    <t>Water cost / intake; water cost / production.</t>
  </si>
  <si>
    <t>Recycled / (intake + recycled): the share of the water used that was used again.</t>
  </si>
  <si>
    <t>Unmetered water</t>
  </si>
  <si>
    <t>(Intake - sum of the sub-meters in the same months) / intake, against the limit on Setup.</t>
  </si>
  <si>
    <t>Sub-meter cost (est.)</t>
  </si>
  <si>
    <t>A meter's m3 x the average cost per m3: an estimate, as wastewater charges depend on where the water ends up.</t>
  </si>
  <si>
    <t>Assumptions</t>
  </si>
  <si>
    <t>One row per calendar month, entered on the first day; meter readings and bills are matched to the month they cover.</t>
  </si>
  <si>
    <t>Production is good output in the same month, in one unit for the whole log.</t>
  </si>
  <si>
    <t>All volumes on both logs are in the one unit chosen on Setup.</t>
  </si>
  <si>
    <t>Limitations</t>
  </si>
  <si>
    <t>Water quality, treatment chemicals and energy for pumping or heating are not modelled.</t>
  </si>
  <si>
    <t>Intensity mixes products: a change in product mix moves m3 per unit without any change in efficiency.</t>
  </si>
  <si>
    <t>The Dashboard has fixed blocks for 6 sub-meters and 12 months; longer lists need the blocks extended (a warning appears).</t>
  </si>
  <si>
    <t>Agreement with the live calculator</t>
  </si>
  <si>
    <t>The live Industrial Water Cost Per Unit calculator divides an allocated water cost by a production volume and multiplies by an allocation factor. The Cost per unit column and tile use the same formula with a factor of 1, the month's supply plus wastewater charges over its production. The template's reference implementation is checked against the calculator's engine for its default example (48,500 over 320,000 units: 0.1516) and for one example month on every build.</t>
  </si>
  <si>
    <t>Open the Industrial Water Cost Per Unit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</si>
  <si>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</si>
  <si>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</si>
  <si>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ISO 46001:2019, Water efficiency management systems (water performance indicators, named only).</t>
  </si>
  <si>
    <t>CDP Water Security questionnaire and GRI 303: Water and Effluents (withdrawal, discharge and consumption definitions, named only).</t>
  </si>
  <si>
    <t>MFG Calcs Industrial Water Cost Per Unit calculator (industrial-water-cost-per-unit): cost / production volume x factor.</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</si>
  <si>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</si>
  <si>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</si>
  <si>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</si>
  <si>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</si>
  <si>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</si>
  <si>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</si>
  <si>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</si>
  <si>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</si>
  <si>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</si>
  <si>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</si>
  <si>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</si>
  <si>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</si>
  <si>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</si>
  <si>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</si>
  <si>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</si>
  <si>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</si>
  <si>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Jan (calculator example): cost per unit</t>
  </si>
  <si>
    <t>Feb: intake</t>
  </si>
  <si>
    <t>Feb: consumed</t>
  </si>
  <si>
    <t>Feb: intensity</t>
  </si>
  <si>
    <t>Feb: cost per m3</t>
  </si>
  <si>
    <t>Feb: reuse share</t>
  </si>
  <si>
    <t>Feb: intensity status against 2.2</t>
  </si>
  <si>
    <t>Near target</t>
  </si>
  <si>
    <t>exact</t>
  </si>
  <si>
    <t>Mar: intensity status (near target band)</t>
  </si>
  <si>
    <t>On target</t>
  </si>
  <si>
    <t>Apr: Check reports discharge above intake</t>
  </si>
  <si>
    <t>Discharge &gt; intake: check meters</t>
  </si>
  <si>
    <t>Sub-meter A: share of February intake</t>
  </si>
  <si>
    <t>Window 2026: intake</t>
  </si>
  <si>
    <t>Window 2026: intensity</t>
  </si>
  <si>
    <t>Window 2026: cost per unit</t>
  </si>
  <si>
    <t>Window 2026: reuse share</t>
  </si>
  <si>
    <t>Window 2026: unmetered water</t>
  </si>
  <si>
    <t>Conversion: 1 L in m3 (Setup formula)</t>
  </si>
  <si>
    <t>Conversion: 1 US gal in m3 (Setup formula)</t>
  </si>
  <si>
    <t>Conversion: 1 imp gal in m3 (Setup formula)</t>
  </si>
  <si>
    <t>Fixed test inputs</t>
  </si>
  <si>
    <t>White cells are fixed test inputs; blue cells are the workbook's formulas evaluated on them.</t>
  </si>
  <si>
    <t>Parameters</t>
  </si>
  <si>
    <t>m3 per volume unit (m3)</t>
  </si>
  <si>
    <t>Water intensity target (m3/unit)</t>
  </si>
  <si>
    <t>Window: first month</t>
  </si>
  <si>
    <t>Window: last month</t>
  </si>
  <si>
    <t>Volume unit of the test rows</t>
  </si>
  <si>
    <t>Test table: Water</t>
  </si>
  <si>
    <t>Test table: Meters</t>
  </si>
  <si>
    <t>A</t>
  </si>
  <si>
    <t>B</t>
  </si>
  <si>
    <t>Test table: SubMeters</t>
  </si>
</sst>
</file>

<file path=xl/styles.xml><?xml version="1.0" encoding="utf-8"?>
<styleSheet xmlns="http://schemas.openxmlformats.org/spreadsheetml/2006/main">
  <numFmts count="12">
    <numFmt numFmtId="164" formatCode="0.0000"/>
    <numFmt numFmtId="165" formatCode="#,##0.00"/>
    <numFmt numFmtId="166" formatCode="0.0%"/>
    <numFmt numFmtId="167" formatCode="d mmm yyyy"/>
    <numFmt numFmtId="168" formatCode="#,##0"/>
    <numFmt numFmtId="169" formatCode="#,##0.0000"/>
    <numFmt numFmtId="170" formatCode="mmm yyyy"/>
    <numFmt numFmtId="171" formatCode="&quot;Target &quot;#,##0.00"/>
    <numFmt numFmtId="172" formatCode="&quot;Limit &quot;0.0%"/>
    <numFmt numFmtId="173" formatCode="#,##0.000"/>
    <numFmt numFmtId="174" formatCode="0.0E+00"/>
    <numFmt numFmtId="175" formatCode="0.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sz val="9"/>
      <color rgb="FF8A4A06"/>
      <name val="Calibri"/>
      <family val="2"/>
      <scheme val="minor"/>
    </font>
    <font>
      <b/>
      <sz val="10"/>
      <color rgb="FFFFFFFF"/>
      <name val="Calibri"/>
      <family val="2"/>
      <scheme val="minor"/>
    </font>
    <font>
      <i/>
      <sz val="9"/>
      <color rgb="FF6B7280"/>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80">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4" borderId="3" xfId="0" applyNumberFormat="1" applyFont="1" applyFill="1" applyBorder="1" applyAlignment="1">
      <alignment vertical="center"/>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7" borderId="2" xfId="0" applyFont="1" applyFill="1" applyBorder="1" applyAlignment="1">
      <alignment vertical="center" wrapText="1"/>
    </xf>
    <xf numFmtId="0" fontId="19" fillId="2" borderId="5" xfId="0" applyFont="1" applyFill="1" applyBorder="1" applyAlignment="1">
      <alignment horizontal="center" vertical="center" wrapText="1"/>
    </xf>
    <xf numFmtId="0" fontId="20" fillId="0" borderId="0" xfId="0" applyFont="1" applyAlignment="1">
      <alignment horizontal="center" vertical="center"/>
    </xf>
    <xf numFmtId="167" fontId="10" fillId="3" borderId="2" xfId="0" applyNumberFormat="1" applyFont="1" applyFill="1" applyBorder="1" applyAlignment="1" applyProtection="1">
      <alignment vertical="center"/>
      <protection locked="0"/>
    </xf>
    <xf numFmtId="168" fontId="10" fillId="3" borderId="2" xfId="0" applyNumberFormat="1" applyFont="1" applyFill="1" applyBorder="1" applyAlignment="1" applyProtection="1">
      <alignment vertical="center"/>
      <protection locked="0"/>
    </xf>
    <xf numFmtId="168" fontId="10"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1" fillId="4" borderId="3" xfId="0" applyFont="1" applyFill="1" applyBorder="1" applyAlignment="1">
      <alignment vertical="center"/>
    </xf>
    <xf numFmtId="0" fontId="10" fillId="3" borderId="2" xfId="0" applyFont="1" applyFill="1" applyBorder="1" applyAlignment="1" applyProtection="1">
      <alignment vertical="top" wrapText="1"/>
      <protection locked="0"/>
    </xf>
    <xf numFmtId="167" fontId="10" fillId="3" borderId="2" xfId="0" applyNumberFormat="1" applyFont="1" applyFill="1" applyBorder="1" applyAlignment="1" applyProtection="1">
      <alignment horizontal="left" vertical="center"/>
      <protection locked="0"/>
    </xf>
    <xf numFmtId="170" fontId="10" fillId="4" borderId="3" xfId="0" applyNumberFormat="1" applyFont="1" applyFill="1" applyBorder="1" applyAlignment="1">
      <alignment vertical="center"/>
    </xf>
    <xf numFmtId="0" fontId="20" fillId="0" borderId="0" xfId="0" applyFont="1" applyAlignment="1">
      <alignment vertical="center"/>
    </xf>
    <xf numFmtId="0" fontId="22" fillId="9" borderId="6" xfId="0" applyFont="1" applyFill="1" applyBorder="1" applyAlignment="1">
      <alignment vertical="center" wrapText="1"/>
    </xf>
    <xf numFmtId="168" fontId="4" fillId="9" borderId="7" xfId="0" applyNumberFormat="1" applyFont="1" applyFill="1" applyBorder="1" applyAlignment="1">
      <alignment horizontal="left" vertical="center"/>
    </xf>
    <xf numFmtId="165" fontId="4" fillId="9" borderId="7" xfId="0" applyNumberFormat="1" applyFont="1" applyFill="1" applyBorder="1" applyAlignment="1">
      <alignment horizontal="left" vertical="center"/>
    </xf>
    <xf numFmtId="169" fontId="4" fillId="9" borderId="7" xfId="0" applyNumberFormat="1" applyFont="1" applyFill="1" applyBorder="1" applyAlignment="1">
      <alignment horizontal="left" vertical="center"/>
    </xf>
    <xf numFmtId="0" fontId="23" fillId="9" borderId="7" xfId="0" applyFont="1" applyFill="1" applyBorder="1" applyAlignment="1">
      <alignment vertical="center"/>
    </xf>
    <xf numFmtId="171" fontId="23" fillId="9" borderId="7" xfId="0" applyNumberFormat="1" applyFont="1" applyFill="1" applyBorder="1" applyAlignment="1">
      <alignment horizontal="left" vertical="center"/>
    </xf>
    <xf numFmtId="0" fontId="22" fillId="9" borderId="8" xfId="0" applyFont="1" applyFill="1" applyBorder="1" applyAlignment="1">
      <alignment vertical="center"/>
    </xf>
    <xf numFmtId="166" fontId="4" fillId="9" borderId="7" xfId="0" applyNumberFormat="1" applyFont="1" applyFill="1" applyBorder="1" applyAlignment="1">
      <alignment horizontal="left" vertical="center"/>
    </xf>
    <xf numFmtId="172" fontId="23" fillId="9" borderId="7" xfId="0" applyNumberFormat="1" applyFont="1" applyFill="1" applyBorder="1" applyAlignment="1">
      <alignment horizontal="left" vertical="center"/>
    </xf>
    <xf numFmtId="0" fontId="19" fillId="2" borderId="5" xfId="0" applyFont="1" applyFill="1" applyBorder="1" applyAlignment="1">
      <alignment horizontal="left" vertical="center" wrapText="1"/>
    </xf>
    <xf numFmtId="170" fontId="9" fillId="0" borderId="9" xfId="0" applyNumberFormat="1" applyFont="1" applyBorder="1" applyAlignment="1">
      <alignment vertical="center"/>
    </xf>
    <xf numFmtId="165" fontId="10" fillId="0" borderId="9" xfId="0" applyNumberFormat="1" applyFont="1" applyBorder="1" applyAlignment="1">
      <alignment vertical="center"/>
    </xf>
    <xf numFmtId="0" fontId="9" fillId="0" borderId="9" xfId="0" applyFont="1" applyBorder="1" applyAlignment="1">
      <alignment vertical="center"/>
    </xf>
    <xf numFmtId="173" fontId="10" fillId="4" borderId="3"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8" fontId="9" fillId="0" borderId="9" xfId="0" applyNumberFormat="1" applyFont="1" applyBorder="1" applyAlignment="1">
      <alignment horizontal="center" vertical="center"/>
    </xf>
    <xf numFmtId="169" fontId="10" fillId="0" borderId="9" xfId="0" applyNumberFormat="1" applyFont="1" applyBorder="1" applyAlignment="1">
      <alignment vertical="center"/>
    </xf>
    <xf numFmtId="174" fontId="10" fillId="4" borderId="3" xfId="0" applyNumberFormat="1" applyFont="1" applyFill="1" applyBorder="1" applyAlignment="1">
      <alignment vertical="center"/>
    </xf>
    <xf numFmtId="174" fontId="10" fillId="0" borderId="9" xfId="0" applyNumberFormat="1" applyFont="1" applyBorder="1" applyAlignment="1">
      <alignment vertical="center"/>
    </xf>
    <xf numFmtId="168" fontId="10" fillId="0" borderId="9" xfId="0" applyNumberFormat="1" applyFont="1" applyBorder="1" applyAlignment="1">
      <alignment vertical="center"/>
    </xf>
    <xf numFmtId="164" fontId="10" fillId="0" borderId="9" xfId="0" applyNumberFormat="1" applyFont="1" applyBorder="1" applyAlignment="1">
      <alignment vertical="center"/>
    </xf>
    <xf numFmtId="175" fontId="10" fillId="0" borderId="9" xfId="0" applyNumberFormat="1" applyFont="1" applyBorder="1" applyAlignment="1">
      <alignment vertical="center"/>
    </xf>
    <xf numFmtId="175" fontId="10" fillId="4" borderId="3" xfId="0" applyNumberFormat="1" applyFont="1" applyFill="1" applyBorder="1" applyAlignment="1">
      <alignment vertical="center"/>
    </xf>
    <xf numFmtId="0" fontId="10" fillId="4" borderId="3" xfId="0" applyFont="1" applyFill="1" applyBorder="1" applyAlignment="1">
      <alignment vertical="center"/>
    </xf>
    <xf numFmtId="167"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Water intake by source (m3)</a:t>
            </a:r>
          </a:p>
        </c:rich>
      </c:tx>
      <c:layout/>
    </c:title>
    <c:plotArea>
      <c:layout/>
      <c:barChart>
        <c:barDir val="col"/>
        <c:grouping val="stacked"/>
        <c:ser>
          <c:idx val="0"/>
          <c:order val="0"/>
          <c:tx>
            <c:v>Mains</c:v>
          </c:tx>
          <c:spPr>
            <a:solidFill>
              <a:srgbClr val="3B64D8"/>
            </a:solidFill>
            <a:ln w="9525">
              <a:solidFill>
                <a:srgbClr val="FFFFFF"/>
              </a:solidFill>
            </a:ln>
          </c:spPr>
          <c:cat>
            <c:numRef>
              <c:f>Dashboard!$B$55:$B$66</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Dashboard!$C$55:$C$66</c:f>
              <c:numCache>
                <c:formatCode>General</c:formatCode>
                <c:ptCount val="12"/>
                <c:pt idx="0">
                  <c:v>6110</c:v>
                </c:pt>
                <c:pt idx="1">
                  <c:v>6067</c:v>
                </c:pt>
                <c:pt idx="2">
                  <c:v>5949</c:v>
                </c:pt>
                <c:pt idx="3">
                  <c:v>5950</c:v>
                </c:pt>
                <c:pt idx="4">
                  <c:v>6114</c:v>
                </c:pt>
                <c:pt idx="5">
                  <c:v>5625</c:v>
                </c:pt>
                <c:pt idx="6">
                  <c:v>5767</c:v>
                </c:pt>
                <c:pt idx="7">
                  <c:v>6123</c:v>
                </c:pt>
                <c:pt idx="8">
                  <c:v>8092</c:v>
                </c:pt>
                <c:pt idx="9">
                  <c:v>7399</c:v>
                </c:pt>
                <c:pt idx="10">
                  <c:v>6968</c:v>
                </c:pt>
                <c:pt idx="11">
                  <c:v>5936</c:v>
                </c:pt>
              </c:numCache>
            </c:numRef>
          </c:val>
        </c:ser>
        <c:ser>
          <c:idx val="1"/>
          <c:order val="1"/>
          <c:tx>
            <c:v>Groundwater</c:v>
          </c:tx>
          <c:spPr>
            <a:solidFill>
              <a:srgbClr val="E8702A"/>
            </a:solidFill>
            <a:ln w="9525">
              <a:solidFill>
                <a:srgbClr val="FFFFFF"/>
              </a:solidFill>
            </a:ln>
          </c:spPr>
          <c:cat>
            <c:numRef>
              <c:f>Dashboard!$B$55:$B$66</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Dashboard!$D$55:$D$66</c:f>
              <c:numCache>
                <c:formatCode>General</c:formatCode>
                <c:ptCount val="12"/>
                <c:pt idx="0">
                  <c:v>4424</c:v>
                </c:pt>
                <c:pt idx="1">
                  <c:v>4394</c:v>
                </c:pt>
                <c:pt idx="2">
                  <c:v>4307</c:v>
                </c:pt>
                <c:pt idx="3">
                  <c:v>4309</c:v>
                </c:pt>
                <c:pt idx="4">
                  <c:v>4428</c:v>
                </c:pt>
                <c:pt idx="5">
                  <c:v>4073</c:v>
                </c:pt>
                <c:pt idx="6">
                  <c:v>4176</c:v>
                </c:pt>
                <c:pt idx="7">
                  <c:v>4433</c:v>
                </c:pt>
                <c:pt idx="8">
                  <c:v>5860</c:v>
                </c:pt>
                <c:pt idx="9">
                  <c:v>5358</c:v>
                </c:pt>
                <c:pt idx="10">
                  <c:v>5046</c:v>
                </c:pt>
                <c:pt idx="11">
                  <c:v>4298</c:v>
                </c:pt>
              </c:numCache>
            </c:numRef>
          </c:val>
        </c:ser>
        <c:ser>
          <c:idx val="2"/>
          <c:order val="2"/>
          <c:tx>
            <c:v>Other intake</c:v>
          </c:tx>
          <c:spPr>
            <a:solidFill>
              <a:srgbClr val="1BA37A"/>
            </a:solidFill>
            <a:ln w="9525">
              <a:solidFill>
                <a:srgbClr val="FFFFFF"/>
              </a:solidFill>
            </a:ln>
          </c:spPr>
          <c:cat>
            <c:numRef>
              <c:f>Dashboard!$B$55:$B$66</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Dashboard!$E$55:$E$66</c:f>
              <c:numCache>
                <c:formatCode>General</c:formatCode>
                <c:ptCount val="12"/>
                <c:pt idx="0">
                  <c:v>0</c:v>
                </c:pt>
                <c:pt idx="1">
                  <c:v>0</c:v>
                </c:pt>
                <c:pt idx="2">
                  <c:v>0</c:v>
                </c:pt>
                <c:pt idx="3">
                  <c:v>0</c:v>
                </c:pt>
                <c:pt idx="4">
                  <c:v>0</c:v>
                </c:pt>
                <c:pt idx="5">
                  <c:v>0</c:v>
                </c:pt>
                <c:pt idx="6">
                  <c:v>0</c:v>
                </c:pt>
                <c:pt idx="7">
                  <c:v>0</c:v>
                </c:pt>
                <c:pt idx="8">
                  <c:v>0</c:v>
                </c:pt>
                <c:pt idx="9">
                  <c:v>0</c:v>
                </c:pt>
                <c:pt idx="10">
                  <c:v>420</c:v>
                </c:pt>
                <c:pt idx="11">
                  <c:v>0</c:v>
                </c:pt>
              </c:numCache>
            </c:numRef>
          </c:val>
        </c:ser>
        <c:gapWidth val="60"/>
        <c:overlap val="100"/>
        <c:axId val="50010001"/>
        <c:axId val="50010002"/>
      </c:barChart>
      <c:catAx>
        <c:axId val="50010001"/>
        <c:scaling>
          <c:orientation val="minMax"/>
        </c:scaling>
        <c:axPos val="b"/>
        <c:numFmt formatCode="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Water intensity by month (m3 per unit of output)</a:t>
            </a:r>
          </a:p>
        </c:rich>
      </c:tx>
      <c:layout/>
    </c:title>
    <c:plotArea>
      <c:layout/>
      <c:barChart>
        <c:barDir val="col"/>
        <c:grouping val="clustered"/>
        <c:ser>
          <c:idx val="0"/>
          <c:order val="0"/>
          <c:tx>
            <c:v>Intensity</c:v>
          </c:tx>
          <c:spPr>
            <a:solidFill>
              <a:srgbClr val="3B64D8"/>
            </a:solidFill>
            <a:ln w="9525">
              <a:solidFill>
                <a:srgbClr val="FFFFFF"/>
              </a:solidFill>
            </a:ln>
          </c:spPr>
          <c:dLbls>
            <c:numFmt formatCode="0.00" sourceLinked="0"/>
            <c:txPr>
              <a:bodyPr/>
              <a:lstStyle/>
              <a:p>
                <a:pPr>
                  <a:defRPr sz="800" b="1" baseline="0">
                    <a:solidFill>
                      <a:srgbClr val="FFFFFF"/>
                    </a:solidFill>
                    <a:latin typeface="Calibri"/>
                  </a:defRPr>
                </a:pPr>
                <a:endParaRPr lang="en-US"/>
              </a:p>
            </c:txPr>
            <c:dLblPos val="inBase"/>
            <c:showVal val="1"/>
          </c:dLbls>
          <c:cat>
            <c:numRef>
              <c:f>Dashboard!$B$55:$B$66</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Dashboard!$I$55:$I$66</c:f>
              <c:numCache>
                <c:formatCode>General</c:formatCode>
                <c:ptCount val="12"/>
                <c:pt idx="0">
                  <c:v>2.44862854486285</c:v>
                </c:pt>
                <c:pt idx="1">
                  <c:v>2.47949751125859</c:v>
                </c:pt>
                <c:pt idx="2">
                  <c:v>2.43379212149976</c:v>
                </c:pt>
                <c:pt idx="3">
                  <c:v>2.46314525810324</c:v>
                </c:pt>
                <c:pt idx="4">
                  <c:v>2.41235697940503</c:v>
                </c:pt>
                <c:pt idx="5">
                  <c:v>2.3267754318618</c:v>
                </c:pt>
                <c:pt idx="6">
                  <c:v>2.31286345661782</c:v>
                </c:pt>
                <c:pt idx="7">
                  <c:v>2.29528158295282</c:v>
                </c:pt>
                <c:pt idx="8">
                  <c:v>2.71175898931001</c:v>
                </c:pt>
                <c:pt idx="9">
                  <c:v>2.42436335993919</c:v>
                </c:pt>
                <c:pt idx="10">
                  <c:v>2.42899003711662</c:v>
                </c:pt>
                <c:pt idx="11">
                  <c:v>2.27624555160142</c:v>
                </c:pt>
              </c:numCache>
            </c:numRef>
          </c:val>
        </c:ser>
        <c:gapWidth val="60"/>
        <c:overlap val="-10"/>
        <c:axId val="50020001"/>
        <c:axId val="50020002"/>
      </c:barChart>
      <c:lineChart>
        <c:grouping val="standard"/>
        <c:ser>
          <c:idx val="1"/>
          <c:order val="1"/>
          <c:tx>
            <c:v>Target</c:v>
          </c:tx>
          <c:spPr>
            <a:ln w="19050">
              <a:solidFill>
                <a:srgbClr val="4A5361"/>
              </a:solidFill>
              <a:prstDash val="dash"/>
            </a:ln>
          </c:spPr>
          <c:marker>
            <c:symbol val="none"/>
          </c:marker>
          <c:cat>
            <c:numRef>
              <c:f>Dashboard!$B$55:$B$66</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Dashboard!$J$55:$J$66</c:f>
              <c:numCache>
                <c:formatCode>General</c:formatCode>
                <c:ptCount val="12"/>
                <c:pt idx="0">
                  <c:v>2.2</c:v>
                </c:pt>
                <c:pt idx="1">
                  <c:v>2.2</c:v>
                </c:pt>
                <c:pt idx="2">
                  <c:v>2.2</c:v>
                </c:pt>
                <c:pt idx="3">
                  <c:v>2.2</c:v>
                </c:pt>
                <c:pt idx="4">
                  <c:v>2.2</c:v>
                </c:pt>
                <c:pt idx="5">
                  <c:v>2.2</c:v>
                </c:pt>
                <c:pt idx="6">
                  <c:v>2.2</c:v>
                </c:pt>
                <c:pt idx="7">
                  <c:v>2.2</c:v>
                </c:pt>
                <c:pt idx="8">
                  <c:v>2.2</c:v>
                </c:pt>
                <c:pt idx="9">
                  <c:v>2.2</c:v>
                </c:pt>
                <c:pt idx="10">
                  <c:v>2.2</c:v>
                </c:pt>
                <c:pt idx="11">
                  <c:v>2.2</c:v>
                </c:pt>
              </c:numCache>
            </c:numRef>
          </c:val>
        </c:ser>
        <c:marker val="1"/>
        <c:axId val="50020001"/>
        <c:axId val="50020002"/>
      </c:lineChart>
      <c:catAx>
        <c:axId val="50020001"/>
        <c:scaling>
          <c:orientation val="minMax"/>
        </c:scaling>
        <c:axPos val="b"/>
        <c:numFmt formatCode="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Water cost by month</a:t>
            </a:r>
          </a:p>
        </c:rich>
      </c:tx>
      <c:layout/>
    </c:title>
    <c:plotArea>
      <c:layout/>
      <c:barChart>
        <c:barDir val="col"/>
        <c:grouping val="stacked"/>
        <c:ser>
          <c:idx val="0"/>
          <c:order val="0"/>
          <c:tx>
            <c:v>Supply charges</c:v>
          </c:tx>
          <c:spPr>
            <a:solidFill>
              <a:srgbClr val="3B64D8"/>
            </a:solidFill>
            <a:ln w="9525">
              <a:solidFill>
                <a:srgbClr val="FFFFFF"/>
              </a:solidFill>
            </a:ln>
          </c:spPr>
          <c:cat>
            <c:numRef>
              <c:f>Dashboard!$B$55:$B$66</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Dashboard!$G$55:$G$66</c:f>
              <c:numCache>
                <c:formatCode>General</c:formatCode>
                <c:ptCount val="12"/>
                <c:pt idx="0">
                  <c:v>12074.38</c:v>
                </c:pt>
                <c:pt idx="1">
                  <c:v>11991.23</c:v>
                </c:pt>
                <c:pt idx="2">
                  <c:v>11762.49</c:v>
                </c:pt>
                <c:pt idx="3">
                  <c:v>11764.58</c:v>
                </c:pt>
                <c:pt idx="4">
                  <c:v>12082.26</c:v>
                </c:pt>
                <c:pt idx="5">
                  <c:v>11135.01</c:v>
                </c:pt>
                <c:pt idx="6">
                  <c:v>11410.07</c:v>
                </c:pt>
                <c:pt idx="7">
                  <c:v>12099.51</c:v>
                </c:pt>
                <c:pt idx="8">
                  <c:v>15913.4</c:v>
                </c:pt>
                <c:pt idx="9">
                  <c:v>14571.11</c:v>
                </c:pt>
                <c:pt idx="10">
                  <c:v>15626.32</c:v>
                </c:pt>
                <c:pt idx="11">
                  <c:v>11737.36</c:v>
                </c:pt>
              </c:numCache>
            </c:numRef>
          </c:val>
        </c:ser>
        <c:ser>
          <c:idx val="1"/>
          <c:order val="1"/>
          <c:tx>
            <c:v>Wastewater charges</c:v>
          </c:tx>
          <c:spPr>
            <a:solidFill>
              <a:srgbClr val="E8702A"/>
            </a:solidFill>
            <a:ln w="9525">
              <a:solidFill>
                <a:srgbClr val="FFFFFF"/>
              </a:solidFill>
            </a:ln>
          </c:spPr>
          <c:cat>
            <c:numRef>
              <c:f>Dashboard!$B$55:$B$66</c:f>
              <c:numCache>
                <c:formatCode>General</c:formatCode>
                <c:ptCount val="12"/>
                <c:pt idx="0">
                  <c:v>45931</c:v>
                </c:pt>
                <c:pt idx="1">
                  <c:v>45962</c:v>
                </c:pt>
                <c:pt idx="2">
                  <c:v>45992</c:v>
                </c:pt>
                <c:pt idx="3">
                  <c:v>46023</c:v>
                </c:pt>
                <c:pt idx="4">
                  <c:v>46054</c:v>
                </c:pt>
                <c:pt idx="5">
                  <c:v>46082</c:v>
                </c:pt>
                <c:pt idx="6">
                  <c:v>46113</c:v>
                </c:pt>
                <c:pt idx="7">
                  <c:v>46143</c:v>
                </c:pt>
                <c:pt idx="8">
                  <c:v>46174</c:v>
                </c:pt>
                <c:pt idx="9">
                  <c:v>46204</c:v>
                </c:pt>
                <c:pt idx="10">
                  <c:v>46235</c:v>
                </c:pt>
                <c:pt idx="11">
                  <c:v>46266</c:v>
                </c:pt>
              </c:numCache>
            </c:numRef>
          </c:cat>
          <c:val>
            <c:numRef>
              <c:f>Dashboard!$H$55:$H$66</c:f>
              <c:numCache>
                <c:formatCode>General</c:formatCode>
                <c:ptCount val="12"/>
                <c:pt idx="0">
                  <c:v>12095.4</c:v>
                </c:pt>
                <c:pt idx="1">
                  <c:v>12179.4</c:v>
                </c:pt>
                <c:pt idx="2">
                  <c:v>11767.8</c:v>
                </c:pt>
                <c:pt idx="3">
                  <c:v>11826.6</c:v>
                </c:pt>
                <c:pt idx="4">
                  <c:v>11975.7</c:v>
                </c:pt>
                <c:pt idx="5">
                  <c:v>10638</c:v>
                </c:pt>
                <c:pt idx="6">
                  <c:v>10911</c:v>
                </c:pt>
                <c:pt idx="7">
                  <c:v>11419.2</c:v>
                </c:pt>
                <c:pt idx="8">
                  <c:v>16188.3</c:v>
                </c:pt>
                <c:pt idx="9">
                  <c:v>13294.5</c:v>
                </c:pt>
                <c:pt idx="10">
                  <c:v>12958.5</c:v>
                </c:pt>
                <c:pt idx="11">
                  <c:v>11005.5</c:v>
                </c:pt>
              </c:numCache>
            </c:numRef>
          </c:val>
        </c:ser>
        <c:gapWidth val="60"/>
        <c:overlap val="100"/>
        <c:axId val="50030001"/>
        <c:axId val="50030002"/>
      </c:barChart>
      <c:catAx>
        <c:axId val="50030001"/>
        <c:scaling>
          <c:orientation val="minMax"/>
        </c:scaling>
        <c:axPos val="b"/>
        <c:numFmt formatCode="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Where the water goes (m3, sub-meters)</a:t>
            </a:r>
          </a:p>
        </c:rich>
      </c:tx>
      <c:layout/>
    </c:title>
    <c:plotArea>
      <c:layout/>
      <c:barChart>
        <c:barDir val="bar"/>
        <c:grouping val="clustered"/>
        <c:ser>
          <c:idx val="0"/>
          <c:order val="0"/>
          <c:tx>
            <c:v>Water</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Dashboard!$B$71:$B$76</c:f>
              <c:strCache>
                <c:ptCount val="6"/>
                <c:pt idx="0">
                  <c:v>Syrup and blending</c:v>
                </c:pt>
                <c:pt idx="1">
                  <c:v>Bottle rinser</c:v>
                </c:pt>
                <c:pt idx="2">
                  <c:v>CIP</c:v>
                </c:pt>
                <c:pt idx="3">
                  <c:v>Boiler make-up</c:v>
                </c:pt>
                <c:pt idx="4">
                  <c:v>Cooling tower</c:v>
                </c:pt>
                <c:pt idx="5">
                  <c:v>Washrooms and canteen</c:v>
                </c:pt>
              </c:strCache>
            </c:strRef>
          </c:cat>
          <c:val>
            <c:numRef>
              <c:f>Dashboard!$C$71:$C$76</c:f>
              <c:numCache>
                <c:formatCode>General</c:formatCode>
                <c:ptCount val="6"/>
                <c:pt idx="0">
                  <c:v>51496</c:v>
                </c:pt>
                <c:pt idx="1">
                  <c:v>16265</c:v>
                </c:pt>
                <c:pt idx="2">
                  <c:v>25049</c:v>
                </c:pt>
                <c:pt idx="3">
                  <c:v>7599</c:v>
                </c:pt>
                <c:pt idx="4">
                  <c:v>14290</c:v>
                </c:pt>
                <c:pt idx="5">
                  <c:v>6459</c:v>
                </c:pt>
              </c:numCache>
            </c:numRef>
          </c:val>
        </c:ser>
        <c:gapWidth val="60"/>
        <c:overlap val="-10"/>
        <c:axId val="50040001"/>
        <c:axId val="50040002"/>
      </c:barChart>
      <c:catAx>
        <c:axId val="5004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40002"/>
        <c:crosses val="autoZero"/>
        <c:lblAlgn val="ctr"/>
        <c:lblOffset val="100"/>
      </c:catAx>
      <c:valAx>
        <c:axId val="5004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40001"/>
        <c:crosses val="max"/>
        <c:crossBetween val="between"/>
      </c:valAx>
      <c:spPr>
        <a:solidFill>
          <a:srgbClr val="FFFFFF"/>
        </a:solidFill>
        <a:ln>
          <a:noFill/>
        </a:ln>
      </c:spPr>
    </c:plotArea>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13</xdr:row>
      <xdr:rowOff>38100</xdr:rowOff>
    </xdr:from>
    <xdr:to>
      <xdr:col>5</xdr:col>
      <xdr:colOff>676275</xdr:colOff>
      <xdr:row>27</xdr:row>
      <xdr:rowOff>152400</xdr:rowOff>
    </xdr:to>
    <xdr:graphicFrame macro="">
      <xdr:nvGraphicFramePr>
        <xdr:cNvPr id="2" name="Chart 1" descr="Stacked column chart of each month's water intake split into mains, groundwater and other sources, in cubic metre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13</xdr:row>
      <xdr:rowOff>38100</xdr:rowOff>
    </xdr:from>
    <xdr:to>
      <xdr:col>11</xdr:col>
      <xdr:colOff>676275</xdr:colOff>
      <xdr:row>27</xdr:row>
      <xdr:rowOff>152400</xdr:rowOff>
    </xdr:to>
    <xdr:graphicFrame macro="">
      <xdr:nvGraphicFramePr>
        <xdr:cNvPr id="3" name="Chart 2" descr="Column chart of each month's water intake per unit of output, with the intensity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35</xdr:row>
      <xdr:rowOff>38100</xdr:rowOff>
    </xdr:from>
    <xdr:to>
      <xdr:col>5</xdr:col>
      <xdr:colOff>676275</xdr:colOff>
      <xdr:row>49</xdr:row>
      <xdr:rowOff>152400</xdr:rowOff>
    </xdr:to>
    <xdr:graphicFrame macro="">
      <xdr:nvGraphicFramePr>
        <xdr:cNvPr id="4" name="Chart 3" descr="Stacked column chart of each month's water supply charges and wastewater charges in the currency set on Setup."/>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38100</xdr:colOff>
      <xdr:row>35</xdr:row>
      <xdr:rowOff>38100</xdr:rowOff>
    </xdr:from>
    <xdr:to>
      <xdr:col>11</xdr:col>
      <xdr:colOff>676275</xdr:colOff>
      <xdr:row>49</xdr:row>
      <xdr:rowOff>152400</xdr:rowOff>
    </xdr:to>
    <xdr:graphicFrame macro="">
      <xdr:nvGraphicFramePr>
        <xdr:cNvPr id="5" name="Chart 4" descr="Horizontal bar chart of the water each sub-meter recorded over the 12 months shown, in cubic metre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id="1" name="tblMeters" displayName="tblMeters" ref="B20:D26" totalsRowShown="0">
  <autoFilter ref="B20:D26"/>
  <tableColumns count="3">
    <tableColumn id="1" name="Meter"/>
    <tableColumn id="2" name="Use"/>
    <tableColumn id="3" name="Notes"/>
  </tableColumns>
  <tableStyleInfo name="TableStyleLight1" showFirstColumn="0" showLastColumn="0" showRowStripes="0" showColumnStripes="0"/>
</table>
</file>

<file path=xl/tables/table2.xml><?xml version="1.0" encoding="utf-8"?>
<table xmlns="http://schemas.openxmlformats.org/spreadsheetml/2006/main" id="2" name="tblWater" displayName="tblWater" ref="B6:V18" totalsRowShown="0">
  <autoFilter ref="B6:V18"/>
  <tableColumns count="21">
    <tableColumn id="1" name="Month"/>
    <tableColumn id="2" name="Mains"/>
    <tableColumn id="3" name="Groundwater"/>
    <tableColumn id="4" name="Other intake"/>
    <tableColumn id="5" name="Recycled water"/>
    <tableColumn id="6" name="Discharge"/>
    <tableColumn id="7" name="Supply charges"/>
    <tableColumn id="8" name="Wastewater charges"/>
    <tableColumn id="9" name="Production"/>
    <tableColumn id="10" name="Intake (m3)">
      <calculatedColumnFormula>IF(tblWater[[#This Row],[Month]]="","",(N(tblWater[[#This Row],[Mains]])+N(tblWater[[#This Row],[Groundwater]])+N(tblWater[[#This Row],[Other intake]]))*M3PerUnit)</calculatedColumnFormula>
    </tableColumn>
    <tableColumn id="11" name="Recycled (m3)">
      <calculatedColumnFormula>IF(tblWater[[#This Row],[Month]]="","",N(tblWater[[#This Row],[Recycled water]])*M3PerUnit)</calculatedColumnFormula>
    </tableColumn>
    <tableColumn id="12" name="Discharge (m3)">
      <calculatedColumnFormula>IF(tblWater[[#This Row],[Month]]="","",N(tblWater[[#This Row],[Discharge]])*M3PerUnit)</calculatedColumnFormula>
    </tableColumn>
    <tableColumn id="13" name="Consumed (m3)">
      <calculatedColumnFormula>IF(tblWater[[#This Row],[Month]]="","",tblWater[[#This Row],[Intake (m3)]]-tblWater[[#This Row],[Discharge (m3)]])</calculatedColumnFormula>
    </tableColumn>
    <tableColumn id="14" name="Water cost">
      <calculatedColumnFormula>IF(tblWater[[#This Row],[Month]]="","",N(tblWater[[#This Row],[Supply charges]])+N(tblWater[[#This Row],[Wastewater charges]]))</calculatedColumnFormula>
    </tableColumn>
    <tableColumn id="15" name="Intensity">
      <calculatedColumnFormula>IF(tblWater[[#This Row],[Month]]="","",IF(N(tblWater[[#This Row],[Production]])&gt;0,tblWater[[#This Row],[Intake (m3)]]/tblWater[[#This Row],[Production]],""))</calculatedColumnFormula>
    </tableColumn>
    <tableColumn id="16" name="Cost per m3">
      <calculatedColumnFormula>IF(tblWater[[#This Row],[Month]]="","",IF(tblWater[[#This Row],[Intake (m3)]]&gt;0,tblWater[[#This Row],[Water cost]]/tblWater[[#This Row],[Intake (m3)]],""))</calculatedColumnFormula>
    </tableColumn>
    <tableColumn id="17" name="Cost per unit">
      <calculatedColumnFormula>IF(tblWater[[#This Row],[Month]]="","",IF(N(tblWater[[#This Row],[Production]])&gt;0,tblWater[[#This Row],[Water cost]]/tblWater[[#This Row],[Production]],""))</calculatedColumnFormula>
    </tableColumn>
    <tableColumn id="18" name="Reuse share">
      <calculatedColumnFormula>IF(tblWater[[#This Row],[Month]]="","",IF(tblWater[[#This Row],[Intake (m3)]]+tblWater[[#This Row],[Recycled (m3)]]&gt;0,tblWater[[#This Row],[Recycled (m3)]]/(tblWater[[#This Row],[Intake (m3)]]+tblWater[[#This Row],[Recycled (m3)]]),""))</calculatedColumnFormula>
    </tableColumn>
    <tableColumn id="19" name="Intensity status">
      <calculatedColumnFormula>IF(NOT(ISNUMBER(tblWater[[#This Row],[Intensity]])),"",IF(tblWater[[#This Row],[Intensity]]&lt;=TargetIntensity,"On target",IF(tblWater[[#This Row],[Intensity]]&lt;=TargetIntensity*(1+0.05),"Near target","Above target")))</calculatedColumnFormula>
    </tableColumn>
    <tableColumn id="20" name="Check">
      <calculatedColumnFormula>IF(tblWater[[#This Row],[Month]]="","",IF(tblWater[[#This Row],[Production]]="","Missing production",IF(DAY(tblWater[[#This Row],[Month]])&lt;&gt;1,"Use the 1st of the month",IF(COUNTIFS(tblWater[Month],tblWater[[#This Row],[Month]])&gt;1,"Duplicate month",IF(tblWater[[#This Row],[Discharge (m3)]]&gt;tblWater[[#This Row],[Intake (m3)]],"Discharge &gt; intake: check meters",IF(tblWater[[#This Row],[Intake (m3)]]=0,"No intake entered","OK"))))))</calculatedColumnFormula>
    </tableColumn>
    <tableColumn id="21" name="Notes"/>
  </tableColumns>
  <tableStyleInfo name="TableStyleLight1" showFirstColumn="0" showLastColumn="0" showRowStripes="0" showColumnStripes="0"/>
</table>
</file>

<file path=xl/tables/table3.xml><?xml version="1.0" encoding="utf-8"?>
<table xmlns="http://schemas.openxmlformats.org/spreadsheetml/2006/main" id="3" name="tblSubMeters" displayName="tblSubMeters" ref="B6:H78" totalsRowShown="0">
  <autoFilter ref="B6:H78"/>
  <tableColumns count="7">
    <tableColumn id="1" name="Month"/>
    <tableColumn id="2" name="Meter"/>
    <tableColumn id="3" name="Volume"/>
    <tableColumn id="4" name="Volume (m3)">
      <calculatedColumnFormula>IF(tblSubMeters[[#This Row],[Month]]="","",N(tblSubMeters[[#This Row],[Volume]])*M3PerUnit)</calculatedColumnFormula>
    </tableColumn>
    <tableColumn id="5" name="Share of intake">
      <calculatedColumnFormula>IF(tblSubMeters[[#This Row],[Month]]="","",IFERROR(tblSubMeters[[#This Row],[Volume (m3)]]/INDEX(tblWater[Intake (m3)],MATCH(tblSubMeters[[#This Row],[Month]],tblWater[Month],0)),""))</calculatedColumnFormula>
    </tableColumn>
    <tableColumn id="6" name="Check">
      <calculatedColumnFormula>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calculatedColumnFormula>
    </tableColumn>
    <tableColumn id="7" name="Notes"/>
  </tableColumns>
  <tableStyleInfo name="TableStyleLight1" showFirstColumn="0" showLastColumn="0" showRowStripes="0" showColumnStripes="0"/>
</table>
</file>

<file path=xl/tables/table4.xml><?xml version="1.0" encoding="utf-8"?>
<table xmlns="http://schemas.openxmlformats.org/spreadsheetml/2006/main" id="4" name="tblVerifyWater" displayName="tblVerifyWater" ref="B42:V46" totalsRowShown="0">
  <tableColumns count="21">
    <tableColumn id="1" name="Month"/>
    <tableColumn id="2" name="Mains"/>
    <tableColumn id="3" name="Groundwater"/>
    <tableColumn id="4" name="Other intake"/>
    <tableColumn id="5" name="Recycled water"/>
    <tableColumn id="6" name="Discharge"/>
    <tableColumn id="7" name="Supply charges"/>
    <tableColumn id="8" name="Wastewater charges"/>
    <tableColumn id="9" name="Production"/>
    <tableColumn id="10" name="Intake (m3)">
      <calculatedColumnFormula>IF(tblVerifyWater[[#This Row],[Month]]="","",(N(tblVerifyWater[[#This Row],[Mains]])+N(tblVerifyWater[[#This Row],[Groundwater]])+N(tblVerifyWater[[#This Row],[Other intake]]))*$E$34)</calculatedColumnFormula>
    </tableColumn>
    <tableColumn id="11" name="Recycled (m3)">
      <calculatedColumnFormula>IF(tblVerifyWater[[#This Row],[Month]]="","",N(tblVerifyWater[[#This Row],[Recycled water]])*$E$34)</calculatedColumnFormula>
    </tableColumn>
    <tableColumn id="12" name="Discharge (m3)">
      <calculatedColumnFormula>IF(tblVerifyWater[[#This Row],[Month]]="","",N(tblVerifyWater[[#This Row],[Discharge]])*$E$34)</calculatedColumnFormula>
    </tableColumn>
    <tableColumn id="13" name="Consumed (m3)">
      <calculatedColumnFormula>IF(tblVerifyWater[[#This Row],[Month]]="","",tblVerifyWater[[#This Row],[Intake (m3)]]-tblVerifyWater[[#This Row],[Discharge (m3)]])</calculatedColumnFormula>
    </tableColumn>
    <tableColumn id="14" name="Water cost">
      <calculatedColumnFormula>IF(tblVerifyWater[[#This Row],[Month]]="","",N(tblVerifyWater[[#This Row],[Supply charges]])+N(tblVerifyWater[[#This Row],[Wastewater charges]]))</calculatedColumnFormula>
    </tableColumn>
    <tableColumn id="15" name="Intensity">
      <calculatedColumnFormula>IF(tblVerifyWater[[#This Row],[Month]]="","",IF(N(tblVerifyWater[[#This Row],[Production]])&gt;0,tblVerifyWater[[#This Row],[Intake (m3)]]/tblVerifyWater[[#This Row],[Production]],""))</calculatedColumnFormula>
    </tableColumn>
    <tableColumn id="16" name="Cost per m3">
      <calculatedColumnFormula>IF(tblVerifyWater[[#This Row],[Month]]="","",IF(tblVerifyWater[[#This Row],[Intake (m3)]]&gt;0,tblVerifyWater[[#This Row],[Water cost]]/tblVerifyWater[[#This Row],[Intake (m3)]],""))</calculatedColumnFormula>
    </tableColumn>
    <tableColumn id="17" name="Cost per unit">
      <calculatedColumnFormula>IF(tblVerifyWater[[#This Row],[Month]]="","",IF(N(tblVerifyWater[[#This Row],[Production]])&gt;0,tblVerifyWater[[#This Row],[Water cost]]/tblVerifyWater[[#This Row],[Production]],""))</calculatedColumnFormula>
    </tableColumn>
    <tableColumn id="18" name="Reuse share">
      <calculatedColumnFormula>IF(tblVerifyWater[[#This Row],[Month]]="","",IF(tblVerifyWater[[#This Row],[Intake (m3)]]+tblVerifyWater[[#This Row],[Recycled (m3)]]&gt;0,tblVerifyWater[[#This Row],[Recycled (m3)]]/(tblVerifyWater[[#This Row],[Intake (m3)]]+tblVerifyWater[[#This Row],[Recycled (m3)]]),""))</calculatedColumnFormula>
    </tableColumn>
    <tableColumn id="19" name="Intensity status">
      <calculatedColumnFormula>IF(NOT(ISNUMBER(tblVerifyWater[[#This Row],[Intensity]])),"",IF(tblVerifyWater[[#This Row],[Intensity]]&lt;=$E$35,"On target",IF(tblVerifyWater[[#This Row],[Intensity]]&lt;=$E$35*(1+0.05),"Near target","Above target")))</calculatedColumnFormula>
    </tableColumn>
    <tableColumn id="20" name="Check">
      <calculatedColumnFormula>IF(tblVerifyWater[[#This Row],[Month]]="","",IF(tblVerifyWater[[#This Row],[Production]]="","Missing production",IF(DAY(tblVerifyWater[[#This Row],[Month]])&lt;&gt;1,"Use the 1st of the month",IF(COUNTIFS(tblVerifyWater[Month],tblVerifyWater[[#This Row],[Month]])&gt;1,"Duplicate month",IF(tblVerifyWater[[#This Row],[Discharge (m3)]]&gt;tblVerifyWater[[#This Row],[Intake (m3)]],"Discharge &gt; intake: check meters",IF(tblVerifyWater[[#This Row],[Intake (m3)]]=0,"No intake entered","OK"))))))</calculatedColumnFormula>
    </tableColumn>
    <tableColumn id="21" name="Notes"/>
  </tableColumns>
  <tableStyleInfo name="TableStyleLight1" showFirstColumn="0" showLastColumn="0" showRowStripes="0" showColumnStripes="0"/>
</table>
</file>

<file path=xl/tables/table5.xml><?xml version="1.0" encoding="utf-8"?>
<table xmlns="http://schemas.openxmlformats.org/spreadsheetml/2006/main" id="5" name="tblVerifyMeters" displayName="tblVerifyMeters" ref="B49:D51" totalsRowShown="0">
  <tableColumns count="3">
    <tableColumn id="1" name="Meter"/>
    <tableColumn id="2" name="Use"/>
    <tableColumn id="3" name="Notes"/>
  </tableColumns>
  <tableStyleInfo name="TableStyleLight1" showFirstColumn="0" showLastColumn="0" showRowStripes="0" showColumnStripes="0"/>
</table>
</file>

<file path=xl/tables/table6.xml><?xml version="1.0" encoding="utf-8"?>
<table xmlns="http://schemas.openxmlformats.org/spreadsheetml/2006/main" id="6" name="tblVerifySubMeters" displayName="tblVerifySubMeters" ref="B55:H57" totalsRowShown="0">
  <tableColumns count="7">
    <tableColumn id="1" name="Month"/>
    <tableColumn id="2" name="Meter"/>
    <tableColumn id="3" name="Volume"/>
    <tableColumn id="4" name="Volume (m3)">
      <calculatedColumnFormula>IF(tblVerifySubMeters[[#This Row],[Month]]="","",N(tblVerifySubMeters[[#This Row],[Volume]])*$E$34)</calculatedColumnFormula>
    </tableColumn>
    <tableColumn id="5" name="Share of intake">
      <calculatedColumnFormula>IF(tblVerifySubMeters[[#This Row],[Month]]="","",IFERROR(tblVerifySubMeters[[#This Row],[Volume (m3)]]/INDEX(tblVerifyWater[Intake (m3)],MATCH(tblVerifySubMeters[[#This Row],[Month]],tblVerifyWater[Month],0)),""))</calculatedColumnFormula>
    </tableColumn>
    <tableColumn id="6" name="Check">
      <calculatedColumnFormula>IF(tblVerifySubMeters[[#This Row],[Month]]="","",IF(tblVerifySubMeters[[#This Row],[Meter]]="","Missing meter",IF(tblVerifySubMeters[[#This Row],[Volume]]="","Missing volume",IF(COUNTIFS(tblVerifyWater[Month],tblVerifySubMeters[[#This Row],[Month]])=0,"No Monthly Water row",IF(COUNTIFS(tblVerifySubMeters[Month],tblVerifySubMeters[[#This Row],[Month]],tblVerifySubMeters[Meter],tblVerifySubMeters[[#This Row],[Meter]])&gt;1,"Duplicate month and meter",IF(COUNTIFS(tblVerifyMeters[Meter],tblVerifySubMeters[[#This Row],[Meter]])=0,"Meter not on Setup list",IF(SUMIFS(tblVerifySubMeters[Volume (m3)],tblVerifySubMeters[Month],tblVerifySubMeters[[#This Row],[Month]])&gt;SUMIFS(tblVerifyWater[Intake (m3)],tblVerifyWater[Month],tblVerifySubMeters[[#This Row],[Month]]),"Meters add up to more than intake","OK")))))))</calculatedColumnFormula>
    </tableColumn>
    <tableColumn id="7"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ater-use-tracker" TargetMode="External"/><Relationship Id="rId2" Type="http://schemas.openxmlformats.org/officeDocument/2006/relationships/hyperlink" Target="https://www.mfgcalcs.com/calculators/environmental-compliance-waste-water-management/industrial-water-cost-per-unit?utm_source=mfgcalcs-template&amp;utm_medium=xlsx&amp;utm_campaign=water-use-tracker" TargetMode="External"/><Relationship Id="rId3" Type="http://schemas.openxmlformats.org/officeDocument/2006/relationships/hyperlink" Target="https://www.mfgcalcs.com/templates/water-use-tracker?utm_source=mfgcalcs-template&amp;utm_medium=xlsx&amp;utm_campaign=water-use-tracker" TargetMode="External"/><Relationship Id="rId4" Type="http://schemas.openxmlformats.org/officeDocument/2006/relationships/hyperlink" Target="https://www.mfgcalcs.com/templates?utm_source=mfgcalcs-template&amp;utm_medium=xlsx&amp;utm_campaign=water-use-tracker"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ater-use-tracker" TargetMode="External"/><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ater-use-tracker" TargetMode="External"/><Relationship Id="rId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ater-use-tracker" TargetMode="External"/><Relationship Id="rId2"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ater-use-tracker" TargetMode="External"/><Relationship Id="rId2"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ater-use-tracker" TargetMode="External"/><Relationship Id="rId2" Type="http://schemas.openxmlformats.org/officeDocument/2006/relationships/hyperlink" Target="https://www.mfgcalcs.com/calculators/environmental-compliance-waste-water-management/industrial-water-cost-per-unit?utm_source=mfgcalcs-template&amp;utm_medium=xlsx&amp;utm_campaign=water-use-tracker"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water-use-tracker" TargetMode="External"/><Relationship Id="rId2" Type="http://schemas.openxmlformats.org/officeDocument/2006/relationships/table" Target="../tables/table4.xml"/><Relationship Id="rId3" Type="http://schemas.openxmlformats.org/officeDocument/2006/relationships/table" Target="../tables/table5.xml"/><Relationship Id="rId4"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7"/>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16.2" customHeight="1">
      <c r="B21" s="11"/>
      <c r="C21" s="12" t="s">
        <v>19</v>
      </c>
      <c r="D21" s="10" t="s">
        <v>20</v>
      </c>
      <c r="E21" s="10"/>
      <c r="F21" s="10"/>
    </row>
    <row r="22" spans="2:6" ht="16.2" customHeight="1">
      <c r="B22" s="11"/>
      <c r="C22" s="12" t="s">
        <v>21</v>
      </c>
      <c r="D22" s="10" t="s">
        <v>22</v>
      </c>
      <c r="E22" s="10"/>
      <c r="F22" s="10"/>
    </row>
    <row r="23" spans="2:6" ht="16.2" customHeight="1">
      <c r="B23" s="11"/>
      <c r="C23" s="12" t="s">
        <v>23</v>
      </c>
      <c r="D23" s="10" t="s">
        <v>24</v>
      </c>
      <c r="E23" s="10"/>
      <c r="F23" s="10"/>
    </row>
    <row r="24" spans="2:6" ht="16.2" customHeight="1">
      <c r="B24" s="11"/>
      <c r="C24" s="12" t="s">
        <v>25</v>
      </c>
      <c r="D24" s="10" t="s">
        <v>26</v>
      </c>
      <c r="E24" s="10"/>
      <c r="F24" s="10"/>
    </row>
    <row r="25" spans="2:6" ht="16.2" customHeight="1">
      <c r="B25" s="11"/>
      <c r="C25" s="12" t="s">
        <v>27</v>
      </c>
      <c r="D25" s="10" t="s">
        <v>28</v>
      </c>
      <c r="E25" s="10"/>
      <c r="F25" s="10"/>
    </row>
    <row r="26" spans="2:6" ht="29.4" customHeight="1">
      <c r="B26" s="11"/>
      <c r="C26" s="12" t="s">
        <v>29</v>
      </c>
      <c r="D26" s="10" t="s">
        <v>30</v>
      </c>
      <c r="E26" s="10"/>
      <c r="F26" s="10"/>
    </row>
    <row r="28" spans="2:6" ht="21" customHeight="1">
      <c r="B28" s="8" t="s">
        <v>31</v>
      </c>
      <c r="C28" s="8"/>
      <c r="D28" s="8"/>
      <c r="E28" s="8"/>
      <c r="F28" s="8"/>
    </row>
    <row r="29" spans="2:6" ht="5" customHeight="1"/>
    <row r="30" spans="2:6" ht="29.4" customHeight="1">
      <c r="C30" s="13" t="s">
        <v>32</v>
      </c>
      <c r="D30" s="14" t="s">
        <v>33</v>
      </c>
      <c r="E30" s="14"/>
      <c r="F30" s="14"/>
    </row>
    <row r="31" spans="2:6" ht="29.4" customHeight="1">
      <c r="C31" s="15" t="s">
        <v>34</v>
      </c>
      <c r="D31" s="14" t="s">
        <v>35</v>
      </c>
      <c r="E31" s="14"/>
      <c r="F31" s="14"/>
    </row>
    <row r="32" spans="2:6" ht="16.2" customHeight="1">
      <c r="C32" s="16" t="s">
        <v>36</v>
      </c>
      <c r="D32" s="14" t="s">
        <v>37</v>
      </c>
      <c r="E32" s="14"/>
      <c r="F32" s="14"/>
    </row>
    <row r="33" spans="2:6" ht="18" customHeight="1">
      <c r="C33" s="17" t="s">
        <v>38</v>
      </c>
      <c r="D33" s="18" t="s">
        <v>39</v>
      </c>
      <c r="E33" s="19" t="s">
        <v>40</v>
      </c>
      <c r="F33" s="20" t="s">
        <v>41</v>
      </c>
    </row>
    <row r="34" spans="2:6" ht="26.76" customHeight="1">
      <c r="C34" s="21" t="s">
        <v>42</v>
      </c>
      <c r="D34" s="21"/>
      <c r="E34" s="21"/>
      <c r="F34" s="21"/>
    </row>
    <row r="36" spans="2:6" ht="21" customHeight="1">
      <c r="B36" s="8" t="s">
        <v>43</v>
      </c>
      <c r="C36" s="8"/>
      <c r="D36" s="8"/>
      <c r="E36" s="8"/>
      <c r="F36" s="8"/>
    </row>
    <row r="37" spans="2:6" ht="5" customHeight="1"/>
    <row r="38" spans="2:6" ht="26" customHeight="1">
      <c r="C38" s="17" t="s">
        <v>44</v>
      </c>
      <c r="D38" s="22" t="str">
        <f>SelfCheck</f>
        <v>PASS</v>
      </c>
      <c r="E38" s="23" t="str">
        <f>SelfCheckSummary</f>
        <v>18 of 18 checks pass</v>
      </c>
      <c r="F38" s="23"/>
    </row>
    <row r="39" spans="2:6" ht="26.76" customHeight="1">
      <c r="C39" s="21" t="s">
        <v>45</v>
      </c>
      <c r="D39" s="21"/>
      <c r="E39" s="21"/>
      <c r="F39" s="21"/>
    </row>
    <row r="40" spans="2:6">
      <c r="C40" s="17" t="s">
        <v>46</v>
      </c>
      <c r="D40" s="24" t="s">
        <v>47</v>
      </c>
      <c r="E40" s="24"/>
      <c r="F40" s="24"/>
    </row>
    <row r="41" spans="2:6">
      <c r="C41" s="17" t="s">
        <v>48</v>
      </c>
      <c r="D41" s="24" t="s">
        <v>49</v>
      </c>
      <c r="E41" s="24"/>
      <c r="F41" s="24"/>
    </row>
    <row r="42" spans="2:6">
      <c r="C42" s="17" t="s">
        <v>50</v>
      </c>
      <c r="D42" s="24" t="s">
        <v>51</v>
      </c>
      <c r="E42" s="24"/>
      <c r="F42" s="24"/>
    </row>
    <row r="43" spans="2:6">
      <c r="C43" s="17" t="s">
        <v>52</v>
      </c>
      <c r="D43" s="11" t="s">
        <v>53</v>
      </c>
      <c r="E43" s="11"/>
      <c r="F43" s="11"/>
    </row>
    <row r="45" spans="2:6" ht="21" customHeight="1">
      <c r="B45" s="8" t="s">
        <v>54</v>
      </c>
      <c r="C45" s="8"/>
      <c r="D45" s="8"/>
      <c r="E45" s="8"/>
      <c r="F45" s="8"/>
    </row>
    <row r="46" spans="2:6" ht="5" customHeight="1"/>
    <row r="47" spans="2:6" ht="75" customHeight="1">
      <c r="B47" s="25" t="s">
        <v>55</v>
      </c>
      <c r="C47" s="25"/>
      <c r="D47" s="25"/>
      <c r="E47" s="25"/>
      <c r="F47" s="25"/>
    </row>
    <row r="49" spans="2:6" ht="21" customHeight="1">
      <c r="B49" s="8" t="s">
        <v>56</v>
      </c>
      <c r="C49" s="8"/>
      <c r="D49" s="8"/>
      <c r="E49" s="8"/>
      <c r="F49" s="8"/>
    </row>
    <row r="50" spans="2:6" ht="5" customHeight="1"/>
    <row r="51" spans="2:6" ht="29.4" customHeight="1">
      <c r="B51" s="26" t="s">
        <v>57</v>
      </c>
      <c r="C51" s="10" t="s">
        <v>58</v>
      </c>
      <c r="D51" s="10"/>
      <c r="E51" s="10"/>
      <c r="F51" s="10"/>
    </row>
    <row r="52" spans="2:6" ht="16.2" customHeight="1">
      <c r="B52" s="26" t="s">
        <v>57</v>
      </c>
      <c r="C52" s="10" t="s">
        <v>59</v>
      </c>
      <c r="D52" s="10"/>
      <c r="E52" s="10"/>
      <c r="F52" s="10"/>
    </row>
    <row r="53" spans="2:6" ht="29.4" customHeight="1">
      <c r="B53" s="26" t="s">
        <v>57</v>
      </c>
      <c r="C53" s="10" t="s">
        <v>60</v>
      </c>
      <c r="D53" s="10"/>
      <c r="E53" s="10"/>
      <c r="F53" s="10"/>
    </row>
    <row r="54" spans="2:6" ht="16.2" customHeight="1">
      <c r="B54" s="26" t="s">
        <v>57</v>
      </c>
      <c r="C54" s="10" t="s">
        <v>61</v>
      </c>
      <c r="D54" s="10"/>
      <c r="E54" s="10"/>
      <c r="F54" s="10"/>
    </row>
    <row r="56" spans="2:6" ht="16.2" customHeight="1">
      <c r="B56" s="17" t="s">
        <v>62</v>
      </c>
      <c r="C56" s="17"/>
      <c r="D56" s="17"/>
      <c r="E56" s="17"/>
      <c r="F56" s="17"/>
    </row>
    <row r="57" spans="2:6" ht="26.76" customHeight="1">
      <c r="B57" s="21" t="s">
        <v>63</v>
      </c>
      <c r="C57" s="21"/>
      <c r="D57" s="21"/>
      <c r="E57" s="21"/>
      <c r="F57" s="21"/>
    </row>
  </sheetData>
  <sheetProtection sheet="1" formatColumns="0" formatRows="0"/>
  <mergeCells count="41">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D26:F26"/>
    <mergeCell ref="B28:F28"/>
    <mergeCell ref="D30:F30"/>
    <mergeCell ref="D31:F31"/>
    <mergeCell ref="D32:F32"/>
    <mergeCell ref="C34:F34"/>
    <mergeCell ref="B36:F36"/>
    <mergeCell ref="E38:F38"/>
    <mergeCell ref="C39:F39"/>
    <mergeCell ref="D40:F40"/>
    <mergeCell ref="D41:F41"/>
    <mergeCell ref="D42:F42"/>
    <mergeCell ref="D43:F43"/>
    <mergeCell ref="B45:F45"/>
    <mergeCell ref="B47:F47"/>
    <mergeCell ref="B49:F49"/>
    <mergeCell ref="C51:F51"/>
    <mergeCell ref="C52:F52"/>
    <mergeCell ref="C53:F53"/>
    <mergeCell ref="C54:F54"/>
    <mergeCell ref="B56:F56"/>
    <mergeCell ref="B57:F57"/>
  </mergeCells>
  <conditionalFormatting sqref="D3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Monthly Water'!A1" tooltip="Go to Monthly Water" display="Monthly Water"/>
    <hyperlink ref="C23" location="'Sub-meters'!A1" tooltip="Go to Sub-meters" display="Sub-meters"/>
    <hyperlink ref="C24" location="Dashboard!A1" tooltip="Go to Dashboard" display="Dashboard"/>
    <hyperlink ref="C25" location="Method!A1" tooltip="Go to Method" display="Method"/>
    <hyperlink ref="C26" location="Verify!A1" tooltip="Go to Verify" display="Verify"/>
    <hyperlink ref="D40" r:id="rId2"/>
    <hyperlink ref="D41" r:id="rId3"/>
    <hyperlink ref="D42" r:id="rId4"/>
  </hyperlinks>
  <printOptions horizontalCentered="1"/>
  <pageMargins left="0.4" right="0.4" top="0.7" bottom="0.65" header="0.3" footer="0.3"/>
  <pageSetup fitToHeight="0" orientation="portrait"/>
  <headerFooter>
    <oddHeader>&amp;L&amp;8MFG Calcs - Water Use Tracker&amp;R&amp;8&amp;A</oddHeader>
    <oddFooter>&amp;L&amp;8mfgcalcs.com - free manufacturing templates&amp;R&amp;8Page &amp;P of &amp;N</oddFooter>
  </headerFooter>
  <rowBreaks count="1" manualBreakCount="1">
    <brk id="35"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26"/>
  <sheetViews>
    <sheetView showGridLines="0" workbookViewId="0"/>
  </sheetViews>
  <sheetFormatPr defaultRowHeight="15"/>
  <cols>
    <col min="1" max="1" width="2.7109375" customWidth="1"/>
    <col min="2" max="2" width="34.7109375" customWidth="1"/>
    <col min="3" max="4" width="16.7109375" customWidth="1"/>
    <col min="5" max="5" width="40.7109375" customWidth="1"/>
  </cols>
  <sheetData>
    <row r="1" spans="1:5" ht="30" customHeight="1">
      <c r="A1" s="1" t="s">
        <v>0</v>
      </c>
      <c r="B1" s="1"/>
      <c r="C1" s="1"/>
      <c r="D1" s="1"/>
      <c r="E1" s="1"/>
    </row>
    <row r="2" spans="1:5" ht="21" customHeight="1">
      <c r="B2" s="2" t="s">
        <v>20</v>
      </c>
      <c r="C2" s="2"/>
      <c r="D2" s="2"/>
      <c r="E2" s="3" t="s">
        <v>2</v>
      </c>
    </row>
    <row r="3" spans="1:5" ht="6" customHeight="1"/>
    <row r="4" spans="1:5" ht="21" customHeight="1">
      <c r="B4" s="8" t="s">
        <v>67</v>
      </c>
      <c r="C4" s="8"/>
      <c r="D4" s="8"/>
      <c r="E4" s="8"/>
    </row>
    <row r="5" spans="1:5" ht="5" customHeight="1"/>
    <row r="6" spans="1:5">
      <c r="B6" s="27" t="s">
        <v>68</v>
      </c>
      <c r="C6" s="28" t="s">
        <v>69</v>
      </c>
      <c r="D6" s="28"/>
    </row>
    <row r="7" spans="1:5">
      <c r="B7" s="27" t="s">
        <v>70</v>
      </c>
      <c r="C7" s="28" t="s">
        <v>71</v>
      </c>
      <c r="D7" s="28"/>
    </row>
    <row r="8" spans="1:5">
      <c r="B8" s="27" t="s">
        <v>72</v>
      </c>
      <c r="C8" s="28" t="s">
        <v>73</v>
      </c>
      <c r="D8" s="28"/>
    </row>
    <row r="9" spans="1:5">
      <c r="B9" s="27" t="s">
        <v>74</v>
      </c>
      <c r="C9" s="29">
        <f>IF(OR(VolUnit="m3",VolUnit="kL"),1,IF(VolUnit="L",0.001,IF(VolUnit="US gal",0.003785411784,IF(VolUnit="imp gal",0.00454609,""))))</f>
        <v>1</v>
      </c>
      <c r="D9" s="7" t="s">
        <v>73</v>
      </c>
    </row>
    <row r="10" spans="1:5">
      <c r="B10" s="27" t="s">
        <v>75</v>
      </c>
      <c r="C10" s="28" t="s">
        <v>76</v>
      </c>
      <c r="D10" s="28"/>
    </row>
    <row r="11" spans="1:5">
      <c r="B11" s="27" t="s">
        <v>77</v>
      </c>
      <c r="C11" s="30">
        <v>2.2</v>
      </c>
      <c r="D11" s="7" t="str">
        <f>"m3/"&amp;OutputUnit</f>
        <v>m3/kL product</v>
      </c>
    </row>
    <row r="12" spans="1:5">
      <c r="B12" s="27" t="s">
        <v>78</v>
      </c>
      <c r="C12" s="31">
        <v>0.1</v>
      </c>
      <c r="D12" s="7"/>
    </row>
    <row r="14" spans="1:5" ht="35.4" customHeight="1">
      <c r="B14" s="25" t="s">
        <v>79</v>
      </c>
      <c r="C14" s="25"/>
      <c r="D14" s="25"/>
      <c r="E14" s="25"/>
    </row>
    <row r="16" spans="1:5" ht="21" customHeight="1">
      <c r="B16" s="8" t="s">
        <v>23</v>
      </c>
      <c r="C16" s="8"/>
      <c r="D16" s="8"/>
      <c r="E16" s="8"/>
    </row>
    <row r="17" spans="2:4" ht="5" customHeight="1"/>
    <row r="18" spans="2:4">
      <c r="B18" s="32" t="s">
        <v>80</v>
      </c>
      <c r="C18" s="32"/>
      <c r="D18" s="32"/>
    </row>
    <row r="19" spans="2:4" ht="29.76" customHeight="1">
      <c r="B19" s="33" t="s">
        <v>81</v>
      </c>
      <c r="C19" s="33"/>
      <c r="D19" s="33"/>
    </row>
    <row r="20" spans="2:4" ht="20" customHeight="1">
      <c r="B20" s="34" t="s">
        <v>64</v>
      </c>
      <c r="C20" s="34" t="s">
        <v>65</v>
      </c>
      <c r="D20" s="34" t="s">
        <v>66</v>
      </c>
    </row>
    <row r="21" spans="2:4">
      <c r="B21" s="28" t="s">
        <v>82</v>
      </c>
      <c r="C21" s="28" t="s">
        <v>83</v>
      </c>
      <c r="D21" s="28" t="s">
        <v>84</v>
      </c>
    </row>
    <row r="22" spans="2:4">
      <c r="B22" s="28" t="s">
        <v>85</v>
      </c>
      <c r="C22" s="28" t="s">
        <v>86</v>
      </c>
      <c r="D22" s="28" t="s">
        <v>87</v>
      </c>
    </row>
    <row r="23" spans="2:4">
      <c r="B23" s="28" t="s">
        <v>88</v>
      </c>
      <c r="C23" s="28" t="s">
        <v>89</v>
      </c>
      <c r="D23" s="28" t="s">
        <v>90</v>
      </c>
    </row>
    <row r="24" spans="2:4">
      <c r="B24" s="28" t="s">
        <v>91</v>
      </c>
      <c r="C24" s="28" t="s">
        <v>92</v>
      </c>
      <c r="D24" s="28" t="s">
        <v>87</v>
      </c>
    </row>
    <row r="25" spans="2:4">
      <c r="B25" s="28" t="s">
        <v>93</v>
      </c>
      <c r="C25" s="28" t="s">
        <v>92</v>
      </c>
      <c r="D25" s="28" t="s">
        <v>94</v>
      </c>
    </row>
    <row r="26" spans="2:4">
      <c r="B26" s="28" t="s">
        <v>95</v>
      </c>
      <c r="C26" s="28" t="s">
        <v>96</v>
      </c>
      <c r="D26" s="28" t="s">
        <v>87</v>
      </c>
    </row>
  </sheetData>
  <mergeCells count="11">
    <mergeCell ref="A1:E1"/>
    <mergeCell ref="B2:D2"/>
    <mergeCell ref="B4:E4"/>
    <mergeCell ref="C6:D6"/>
    <mergeCell ref="C7:D7"/>
    <mergeCell ref="C8:D8"/>
    <mergeCell ref="C10:D10"/>
    <mergeCell ref="B14:E14"/>
    <mergeCell ref="B16:E16"/>
    <mergeCell ref="B18:D18"/>
    <mergeCell ref="B19:D19"/>
  </mergeCells>
  <dataValidations count="9">
    <dataValidation type="textLength" allowBlank="1" showInputMessage="1" showErrorMessage="1" errorTitle="Check this entry" error="Text up to 80 characters." promptTitle="Plant name" prompt="Text up to 80 characters." sqref="C6">
      <formula1>0</formula1>
      <formula2>80</formula2>
    </dataValidation>
    <dataValidation type="textLength" allowBlank="1" showInputMessage="1" showErrorMessage="1" errorTitle="Check this entry" error="Text up to 12 characters." promptTitle="Currency label" prompt="Text shown with every money value, e.g. USD, INR, GBP, EUR, MXN. No exchange rate is applied. Text up to 12 characters." sqref="C7">
      <formula1>0</formula1>
      <formula2>12</formula2>
    </dataValidation>
    <dataValidation type="list" allowBlank="1" showInputMessage="1" showErrorMessage="1" errorTitle="Check this entry" error="Pick one of: m3, kL, L, US gal, imp gal." promptTitle="Volume unit on the logs" prompt="The unit your meters and bills use. Everything is converted exactly to m3: 1 kL = 1 m3, 1 L = 0.001 m3, 1 US gal = 3.785411784 L, 1 imp gal = 4.54609 L. Pick one of: m3, kL, L, US gal, imp gal." sqref="C8">
      <formula1>"m3,kL,L,US gal,imp gal"</formula1>
    </dataValidation>
    <dataValidation type="textLength" allowBlank="1" showInputMessage="1" showErrorMessage="1" errorTitle="Check this entry" error="Text up to 24 characters." promptTitle="Unit of output" prompt="What Production counts: kL product, t, cases, parts... Intensity is m3 of intake per this unit. Text up to 24 characters." sqref="C10">
      <formula1>0</formula1>
      <formula2>24</formula2>
    </dataValidation>
    <dataValidation type="decimal" allowBlank="1" showInputMessage="1" showErrorMessage="1" errorTitle="Check this entry" error="Enter a number of at least 0." promptTitle="Water intensity target" prompt="Your own target, e.g. last year's figure less your reduction goal. Enter a number of at least 0." sqref="C11">
      <formula1>0</formula1>
      <formula2>1000000000.0</formula2>
    </dataValidation>
    <dataValidation type="decimal" allowBlank="1" showInputMessage="1" showErrorMessage="1" errorTitle="Check this entry" error="Enter a percentage from 0% to 100% (type 85% or 0.85)." promptTitle="Unmetered water limit" prompt="Intake not seen by any sub-meter, as a share of intake. Above this, look for leaks or a meter fault. Enter a percentage from 0% to 100% (type 85% or 0.85)." sqref="C12">
      <formula1>0</formula1>
      <formula2>1</formula2>
    </dataValidation>
    <dataValidation type="textLength" allowBlank="1" showInputMessage="1" showErrorMessage="1" errorTitle="Check this entry" error="Text up to 40 characters." promptTitle="Meter" prompt="Text up to 40 characters." sqref="B21:B126">
      <formula1>0</formula1>
      <formula2>40</formula2>
    </dataValidation>
    <dataValidation type="textLength" allowBlank="1" showInputMessage="1" showErrorMessage="1" errorTitle="Check this entry" error="Text up to 30 characters." promptTitle="Use" prompt="Text up to 30 characters." sqref="C21:C126">
      <formula1>0</formula1>
      <formula2>30</formula2>
    </dataValidation>
    <dataValidation type="textLength" allowBlank="1" showInputMessage="1" showErrorMessage="1" errorTitle="Check this entry" error="Text up to 120 characters." promptTitle="Notes" prompt="Text up to 120 characters." sqref="D21:D126">
      <formula1>0</formula1>
      <formula2>120</formula2>
    </dataValidation>
  </dataValidations>
  <hyperlinks>
    <hyperlink ref="E2" r:id="rId1" tooltip="Free manufacturing calculators and templates"/>
  </hyperlinks>
  <pageMargins left="0.4" right="0.4" top="0.7" bottom="0.65" header="0.3" footer="0.3"/>
  <pageSetup fitToHeight="0" orientation="portrait"/>
  <headerFooter>
    <oddHeader>&amp;L&amp;8MFG Calcs - Water Use Tracker&amp;R&amp;8&amp;A</oddHeader>
    <oddFooter>&amp;L&amp;8mfgcalcs.com - free manufacturing templates&amp;R&amp;8Page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V18"/>
  <sheetViews>
    <sheetView workbookViewId="0">
      <pane xSplit="2" ySplit="6" topLeftCell="C7" activePane="bottomRight" state="frozen"/>
      <selection pane="topRight" activeCell="C1" sqref="C1"/>
      <selection pane="bottomLeft" activeCell="A7" sqref="A7"/>
      <selection pane="bottomRight"/>
    </sheetView>
  </sheetViews>
  <sheetFormatPr defaultRowHeight="15"/>
  <cols>
    <col min="1" max="1" width="2.7109375" customWidth="1"/>
    <col min="2" max="2" width="11.7109375" customWidth="1"/>
    <col min="3" max="3" width="10.28515625" customWidth="1"/>
    <col min="4" max="4" width="11.28515625" customWidth="1"/>
    <col min="5" max="5" width="9.7109375" customWidth="1"/>
    <col min="6" max="7" width="10.28515625" customWidth="1"/>
    <col min="8" max="8" width="10.7109375" customWidth="1"/>
    <col min="9" max="9" width="11.7109375" customWidth="1"/>
    <col min="10" max="10" width="10.7109375" customWidth="1"/>
    <col min="11" max="14" width="10.28515625" customWidth="1"/>
    <col min="15" max="15" width="10.7109375" customWidth="1"/>
    <col min="16" max="16" width="9.7109375" customWidth="1"/>
    <col min="17" max="17" width="9.28515625" customWidth="1"/>
    <col min="18" max="18" width="9.7109375" customWidth="1"/>
    <col min="19" max="19" width="8.7109375" customWidth="1"/>
    <col min="20" max="20" width="11.7109375" customWidth="1"/>
    <col min="21" max="21" width="26.7109375" customWidth="1"/>
    <col min="22" max="22" width="34.7109375" customWidth="1"/>
  </cols>
  <sheetData>
    <row r="1" spans="1:22" ht="30" customHeight="1">
      <c r="A1" s="1" t="s">
        <v>0</v>
      </c>
      <c r="B1" s="1"/>
      <c r="C1" s="1"/>
      <c r="D1" s="1"/>
      <c r="E1" s="1"/>
      <c r="F1" s="1"/>
      <c r="G1" s="1"/>
      <c r="H1" s="1"/>
      <c r="I1" s="1"/>
      <c r="J1" s="1"/>
      <c r="K1" s="1"/>
      <c r="L1" s="1"/>
      <c r="M1" s="1"/>
      <c r="N1" s="1"/>
      <c r="O1" s="1"/>
      <c r="P1" s="1"/>
      <c r="Q1" s="1"/>
      <c r="R1" s="1"/>
      <c r="S1" s="1"/>
      <c r="T1" s="1"/>
      <c r="U1" s="1"/>
      <c r="V1" s="1"/>
    </row>
    <row r="2" spans="1:22" ht="21" customHeight="1">
      <c r="B2" s="2" t="s">
        <v>22</v>
      </c>
      <c r="C2" s="2"/>
      <c r="D2" s="2"/>
      <c r="E2" s="2"/>
      <c r="F2" s="2"/>
      <c r="G2" s="2"/>
      <c r="H2" s="2"/>
      <c r="I2" s="2"/>
      <c r="J2" s="2"/>
      <c r="K2" s="2"/>
      <c r="L2" s="2"/>
      <c r="M2" s="2"/>
      <c r="N2" s="2"/>
      <c r="O2" s="2"/>
      <c r="P2" s="2"/>
      <c r="Q2" s="2"/>
      <c r="R2" s="2"/>
      <c r="S2" s="2"/>
      <c r="T2" s="2"/>
      <c r="U2" s="2"/>
      <c r="V2" s="3" t="s">
        <v>2</v>
      </c>
    </row>
    <row r="3" spans="1:22" ht="6" customHeight="1"/>
    <row r="4" spans="1:22" ht="18" customHeight="1">
      <c r="B4" s="33" t="s">
        <v>117</v>
      </c>
      <c r="C4" s="33"/>
      <c r="D4" s="33"/>
      <c r="E4" s="33"/>
      <c r="F4" s="33"/>
      <c r="G4" s="33"/>
      <c r="H4" s="33"/>
      <c r="I4" s="33"/>
      <c r="J4" s="33"/>
      <c r="K4" s="33"/>
      <c r="L4" s="33"/>
      <c r="M4" s="33"/>
      <c r="N4" s="33"/>
      <c r="O4" s="33"/>
      <c r="P4" s="33"/>
      <c r="Q4" s="33"/>
      <c r="R4" s="33"/>
      <c r="S4" s="33"/>
      <c r="T4" s="33"/>
      <c r="U4" s="33"/>
      <c r="V4" s="33"/>
    </row>
    <row r="5" spans="1:22" ht="14" customHeight="1">
      <c r="B5" s="35"/>
      <c r="C5" s="35" t="str">
        <f>VolUnit</f>
        <v>m3</v>
      </c>
      <c r="D5" s="35" t="str">
        <f>VolUnit</f>
        <v>m3</v>
      </c>
      <c r="E5" s="35" t="str">
        <f>VolUnit</f>
        <v>m3</v>
      </c>
      <c r="F5" s="35" t="str">
        <f>VolUnit</f>
        <v>m3</v>
      </c>
      <c r="G5" s="35" t="str">
        <f>VolUnit</f>
        <v>m3</v>
      </c>
      <c r="H5" s="35" t="str">
        <f>Currency</f>
        <v>EUR</v>
      </c>
      <c r="I5" s="35" t="str">
        <f>Currency</f>
        <v>EUR</v>
      </c>
      <c r="J5" s="35" t="str">
        <f>OutputUnit</f>
        <v>kL product</v>
      </c>
      <c r="K5" s="35"/>
      <c r="L5" s="35"/>
      <c r="M5" s="35"/>
      <c r="N5" s="35"/>
      <c r="O5" s="35" t="str">
        <f>Currency</f>
        <v>EUR</v>
      </c>
      <c r="P5" s="35" t="str">
        <f>"m3/"&amp;OutputUnit</f>
        <v>m3/kL product</v>
      </c>
      <c r="Q5" s="35" t="str">
        <f>Currency&amp;"/m3"</f>
        <v>EUR/m3</v>
      </c>
      <c r="R5" s="35" t="str">
        <f>Currency&amp;"/"&amp;OutputUnit</f>
        <v>EUR/kL product</v>
      </c>
      <c r="S5" s="35" t="s">
        <v>118</v>
      </c>
      <c r="T5" s="35"/>
      <c r="U5" s="35"/>
      <c r="V5" s="35"/>
    </row>
    <row r="6" spans="1:22" ht="32" customHeight="1">
      <c r="B6" s="34" t="s">
        <v>97</v>
      </c>
      <c r="C6" s="34" t="s">
        <v>98</v>
      </c>
      <c r="D6" s="34" t="s">
        <v>99</v>
      </c>
      <c r="E6" s="34" t="s">
        <v>100</v>
      </c>
      <c r="F6" s="34" t="s">
        <v>101</v>
      </c>
      <c r="G6" s="34" t="s">
        <v>102</v>
      </c>
      <c r="H6" s="34" t="s">
        <v>103</v>
      </c>
      <c r="I6" s="34" t="s">
        <v>104</v>
      </c>
      <c r="J6" s="34" t="s">
        <v>105</v>
      </c>
      <c r="K6" s="34" t="s">
        <v>106</v>
      </c>
      <c r="L6" s="34" t="s">
        <v>107</v>
      </c>
      <c r="M6" s="34" t="s">
        <v>108</v>
      </c>
      <c r="N6" s="34" t="s">
        <v>109</v>
      </c>
      <c r="O6" s="34" t="s">
        <v>110</v>
      </c>
      <c r="P6" s="34" t="s">
        <v>111</v>
      </c>
      <c r="Q6" s="34" t="s">
        <v>112</v>
      </c>
      <c r="R6" s="34" t="s">
        <v>113</v>
      </c>
      <c r="S6" s="34" t="s">
        <v>114</v>
      </c>
      <c r="T6" s="34" t="s">
        <v>115</v>
      </c>
      <c r="U6" s="34" t="s">
        <v>116</v>
      </c>
      <c r="V6" s="34" t="s">
        <v>66</v>
      </c>
    </row>
    <row r="7" spans="1:22">
      <c r="B7" s="36">
        <v>45931</v>
      </c>
      <c r="C7" s="37">
        <v>6110</v>
      </c>
      <c r="D7" s="37">
        <v>4424</v>
      </c>
      <c r="E7" s="37">
        <v>0</v>
      </c>
      <c r="F7" s="37">
        <v>0</v>
      </c>
      <c r="G7" s="37">
        <v>5674</v>
      </c>
      <c r="H7" s="30">
        <v>12074.38</v>
      </c>
      <c r="I7" s="30">
        <v>12095.4</v>
      </c>
      <c r="J7" s="37">
        <v>4302</v>
      </c>
      <c r="K7" s="38">
        <f>IF(tblWater[[#This Row],[Month]]="","",(N(tblWater[[#This Row],[Mains]])+N(tblWater[[#This Row],[Groundwater]])+N(tblWater[[#This Row],[Other intake]]))*M3PerUnit)</f>
        <v>10534</v>
      </c>
      <c r="L7" s="38">
        <f>IF(tblWater[[#This Row],[Month]]="","",N(tblWater[[#This Row],[Recycled water]])*M3PerUnit)</f>
        <v>0</v>
      </c>
      <c r="M7" s="38">
        <f>IF(tblWater[[#This Row],[Month]]="","",N(tblWater[[#This Row],[Discharge]])*M3PerUnit)</f>
        <v>5674</v>
      </c>
      <c r="N7" s="38">
        <f>IF(tblWater[[#This Row],[Month]]="","",tblWater[[#This Row],[Intake (m3)]]-tblWater[[#This Row],[Discharge (m3)]])</f>
        <v>4860</v>
      </c>
      <c r="O7" s="39">
        <f>IF(tblWater[[#This Row],[Month]]="","",N(tblWater[[#This Row],[Supply charges]])+N(tblWater[[#This Row],[Wastewater charges]]))</f>
        <v>24169.78</v>
      </c>
      <c r="P7" s="39">
        <f>IF(tblWater[[#This Row],[Month]]="","",IF(N(tblWater[[#This Row],[Production]])&gt;0,tblWater[[#This Row],[Intake (m3)]]/tblWater[[#This Row],[Production]],""))</f>
        <v>2.44862854486285</v>
      </c>
      <c r="Q7" s="39">
        <f>IF(tblWater[[#This Row],[Month]]="","",IF(tblWater[[#This Row],[Intake (m3)]]&gt;0,tblWater[[#This Row],[Water cost]]/tblWater[[#This Row],[Intake (m3)]],""))</f>
        <v>2.29445414847162</v>
      </c>
      <c r="R7" s="40">
        <f>IF(tblWater[[#This Row],[Month]]="","",IF(N(tblWater[[#This Row],[Production]])&gt;0,tblWater[[#This Row],[Water cost]]/tblWater[[#This Row],[Production]],""))</f>
        <v>5.61826592282659</v>
      </c>
      <c r="S7" s="41">
        <f>IF(tblWater[[#This Row],[Month]]="","",IF(tblWater[[#This Row],[Intake (m3)]]+tblWater[[#This Row],[Recycled (m3)]]&gt;0,tblWater[[#This Row],[Recycled (m3)]]/(tblWater[[#This Row],[Intake (m3)]]+tblWater[[#This Row],[Recycled (m3)]]),""))</f>
        <v>0</v>
      </c>
      <c r="T7" s="42" t="str">
        <f>IF(NOT(ISNUMBER(tblWater[[#This Row],[Intensity]])),"",IF(tblWater[[#This Row],[Intensity]]&lt;=TargetIntensity,"On target",IF(tblWater[[#This Row],[Intensity]]&lt;=TargetIntensity*(1+0.05),"Near target","Above target")))</f>
        <v>Above target</v>
      </c>
      <c r="U7" s="43" t="str">
        <f>IF(tblWater[[#This Row],[Month]]="","",IF(tblWater[[#This Row],[Production]]="","Missing production",IF(DAY(tblWater[[#This Row],[Month]])&lt;&gt;1,"Use the 1st of the month",IF(COUNTIFS(tblWater[Month],tblWater[[#This Row],[Month]])&gt;1,"Duplicate month",IF(tblWater[[#This Row],[Discharge (m3)]]&gt;tblWater[[#This Row],[Intake (m3)]],"Discharge &gt; intake: check meters",IF(tblWater[[#This Row],[Intake (m3)]]=0,"No intake entered","OK"))))))</f>
        <v>OK</v>
      </c>
      <c r="V7" s="44" t="s">
        <v>87</v>
      </c>
    </row>
    <row r="8" spans="1:22">
      <c r="B8" s="36">
        <v>45962</v>
      </c>
      <c r="C8" s="37">
        <v>6067</v>
      </c>
      <c r="D8" s="37">
        <v>4394</v>
      </c>
      <c r="E8" s="37">
        <v>0</v>
      </c>
      <c r="F8" s="37">
        <v>0</v>
      </c>
      <c r="G8" s="37">
        <v>5714</v>
      </c>
      <c r="H8" s="30">
        <v>11991.23</v>
      </c>
      <c r="I8" s="30">
        <v>12179.4</v>
      </c>
      <c r="J8" s="37">
        <v>4219</v>
      </c>
      <c r="K8" s="38">
        <f>IF(tblWater[[#This Row],[Month]]="","",(N(tblWater[[#This Row],[Mains]])+N(tblWater[[#This Row],[Groundwater]])+N(tblWater[[#This Row],[Other intake]]))*M3PerUnit)</f>
        <v>10461</v>
      </c>
      <c r="L8" s="38">
        <f>IF(tblWater[[#This Row],[Month]]="","",N(tblWater[[#This Row],[Recycled water]])*M3PerUnit)</f>
        <v>0</v>
      </c>
      <c r="M8" s="38">
        <f>IF(tblWater[[#This Row],[Month]]="","",N(tblWater[[#This Row],[Discharge]])*M3PerUnit)</f>
        <v>5714</v>
      </c>
      <c r="N8" s="38">
        <f>IF(tblWater[[#This Row],[Month]]="","",tblWater[[#This Row],[Intake (m3)]]-tblWater[[#This Row],[Discharge (m3)]])</f>
        <v>4747</v>
      </c>
      <c r="O8" s="39">
        <f>IF(tblWater[[#This Row],[Month]]="","",N(tblWater[[#This Row],[Supply charges]])+N(tblWater[[#This Row],[Wastewater charges]]))</f>
        <v>24170.63</v>
      </c>
      <c r="P8" s="39">
        <f>IF(tblWater[[#This Row],[Month]]="","",IF(N(tblWater[[#This Row],[Production]])&gt;0,tblWater[[#This Row],[Intake (m3)]]/tblWater[[#This Row],[Production]],""))</f>
        <v>2.47949751125859</v>
      </c>
      <c r="Q8" s="39">
        <f>IF(tblWater[[#This Row],[Month]]="","",IF(tblWater[[#This Row],[Intake (m3)]]&gt;0,tblWater[[#This Row],[Water cost]]/tblWater[[#This Row],[Intake (m3)]],""))</f>
        <v>2.31054679284963</v>
      </c>
      <c r="R8" s="40">
        <f>IF(tblWater[[#This Row],[Month]]="","",IF(N(tblWater[[#This Row],[Production]])&gt;0,tblWater[[#This Row],[Water cost]]/tblWater[[#This Row],[Production]],""))</f>
        <v>5.72899502251718</v>
      </c>
      <c r="S8" s="41">
        <f>IF(tblWater[[#This Row],[Month]]="","",IF(tblWater[[#This Row],[Intake (m3)]]+tblWater[[#This Row],[Recycled (m3)]]&gt;0,tblWater[[#This Row],[Recycled (m3)]]/(tblWater[[#This Row],[Intake (m3)]]+tblWater[[#This Row],[Recycled (m3)]]),""))</f>
        <v>0</v>
      </c>
      <c r="T8" s="42" t="str">
        <f>IF(NOT(ISNUMBER(tblWater[[#This Row],[Intensity]])),"",IF(tblWater[[#This Row],[Intensity]]&lt;=TargetIntensity,"On target",IF(tblWater[[#This Row],[Intensity]]&lt;=TargetIntensity*(1+0.05),"Near target","Above target")))</f>
        <v>Above target</v>
      </c>
      <c r="U8" s="43" t="str">
        <f>IF(tblWater[[#This Row],[Month]]="","",IF(tblWater[[#This Row],[Production]]="","Missing production",IF(DAY(tblWater[[#This Row],[Month]])&lt;&gt;1,"Use the 1st of the month",IF(COUNTIFS(tblWater[Month],tblWater[[#This Row],[Month]])&gt;1,"Duplicate month",IF(tblWater[[#This Row],[Discharge (m3)]]&gt;tblWater[[#This Row],[Intake (m3)]],"Discharge &gt; intake: check meters",IF(tblWater[[#This Row],[Intake (m3)]]=0,"No intake entered","OK"))))))</f>
        <v>OK</v>
      </c>
      <c r="V8" s="44" t="s">
        <v>87</v>
      </c>
    </row>
    <row r="9" spans="1:22">
      <c r="B9" s="36">
        <v>45992</v>
      </c>
      <c r="C9" s="37">
        <v>5949</v>
      </c>
      <c r="D9" s="37">
        <v>4307</v>
      </c>
      <c r="E9" s="37">
        <v>0</v>
      </c>
      <c r="F9" s="37">
        <v>0</v>
      </c>
      <c r="G9" s="37">
        <v>5518</v>
      </c>
      <c r="H9" s="30">
        <v>11762.49</v>
      </c>
      <c r="I9" s="30">
        <v>11767.8</v>
      </c>
      <c r="J9" s="37">
        <v>4214</v>
      </c>
      <c r="K9" s="38">
        <f>IF(tblWater[[#This Row],[Month]]="","",(N(tblWater[[#This Row],[Mains]])+N(tblWater[[#This Row],[Groundwater]])+N(tblWater[[#This Row],[Other intake]]))*M3PerUnit)</f>
        <v>10256</v>
      </c>
      <c r="L9" s="38">
        <f>IF(tblWater[[#This Row],[Month]]="","",N(tblWater[[#This Row],[Recycled water]])*M3PerUnit)</f>
        <v>0</v>
      </c>
      <c r="M9" s="38">
        <f>IF(tblWater[[#This Row],[Month]]="","",N(tblWater[[#This Row],[Discharge]])*M3PerUnit)</f>
        <v>5518</v>
      </c>
      <c r="N9" s="38">
        <f>IF(tblWater[[#This Row],[Month]]="","",tblWater[[#This Row],[Intake (m3)]]-tblWater[[#This Row],[Discharge (m3)]])</f>
        <v>4738</v>
      </c>
      <c r="O9" s="39">
        <f>IF(tblWater[[#This Row],[Month]]="","",N(tblWater[[#This Row],[Supply charges]])+N(tblWater[[#This Row],[Wastewater charges]]))</f>
        <v>23530.29</v>
      </c>
      <c r="P9" s="39">
        <f>IF(tblWater[[#This Row],[Month]]="","",IF(N(tblWater[[#This Row],[Production]])&gt;0,tblWater[[#This Row],[Intake (m3)]]/tblWater[[#This Row],[Production]],""))</f>
        <v>2.43379212149976</v>
      </c>
      <c r="Q9" s="39">
        <f>IF(tblWater[[#This Row],[Month]]="","",IF(tblWater[[#This Row],[Intake (m3)]]&gt;0,tblWater[[#This Row],[Water cost]]/tblWater[[#This Row],[Intake (m3)]],""))</f>
        <v>2.29429504680187</v>
      </c>
      <c r="R9" s="40">
        <f>IF(tblWater[[#This Row],[Month]]="","",IF(N(tblWater[[#This Row],[Production]])&gt;0,tblWater[[#This Row],[Water cost]]/tblWater[[#This Row],[Production]],""))</f>
        <v>5.58383720930233</v>
      </c>
      <c r="S9" s="41">
        <f>IF(tblWater[[#This Row],[Month]]="","",IF(tblWater[[#This Row],[Intake (m3)]]+tblWater[[#This Row],[Recycled (m3)]]&gt;0,tblWater[[#This Row],[Recycled (m3)]]/(tblWater[[#This Row],[Intake (m3)]]+tblWater[[#This Row],[Recycled (m3)]]),""))</f>
        <v>0</v>
      </c>
      <c r="T9" s="42" t="str">
        <f>IF(NOT(ISNUMBER(tblWater[[#This Row],[Intensity]])),"",IF(tblWater[[#This Row],[Intensity]]&lt;=TargetIntensity,"On target",IF(tblWater[[#This Row],[Intensity]]&lt;=TargetIntensity*(1+0.05),"Near target","Above target")))</f>
        <v>Above target</v>
      </c>
      <c r="U9" s="43" t="str">
        <f>IF(tblWater[[#This Row],[Month]]="","",IF(tblWater[[#This Row],[Production]]="","Missing production",IF(DAY(tblWater[[#This Row],[Month]])&lt;&gt;1,"Use the 1st of the month",IF(COUNTIFS(tblWater[Month],tblWater[[#This Row],[Month]])&gt;1,"Duplicate month",IF(tblWater[[#This Row],[Discharge (m3)]]&gt;tblWater[[#This Row],[Intake (m3)]],"Discharge &gt; intake: check meters",IF(tblWater[[#This Row],[Intake (m3)]]=0,"No intake entered","OK"))))))</f>
        <v>OK</v>
      </c>
      <c r="V9" s="44" t="s">
        <v>87</v>
      </c>
    </row>
    <row r="10" spans="1:22">
      <c r="B10" s="36">
        <v>46023</v>
      </c>
      <c r="C10" s="37">
        <v>5950</v>
      </c>
      <c r="D10" s="37">
        <v>4309</v>
      </c>
      <c r="E10" s="37">
        <v>0</v>
      </c>
      <c r="F10" s="37">
        <v>0</v>
      </c>
      <c r="G10" s="37">
        <v>5546</v>
      </c>
      <c r="H10" s="30">
        <v>11764.58</v>
      </c>
      <c r="I10" s="30">
        <v>11826.6</v>
      </c>
      <c r="J10" s="37">
        <v>4165</v>
      </c>
      <c r="K10" s="38">
        <f>IF(tblWater[[#This Row],[Month]]="","",(N(tblWater[[#This Row],[Mains]])+N(tblWater[[#This Row],[Groundwater]])+N(tblWater[[#This Row],[Other intake]]))*M3PerUnit)</f>
        <v>10259</v>
      </c>
      <c r="L10" s="38">
        <f>IF(tblWater[[#This Row],[Month]]="","",N(tblWater[[#This Row],[Recycled water]])*M3PerUnit)</f>
        <v>0</v>
      </c>
      <c r="M10" s="38">
        <f>IF(tblWater[[#This Row],[Month]]="","",N(tblWater[[#This Row],[Discharge]])*M3PerUnit)</f>
        <v>5546</v>
      </c>
      <c r="N10" s="38">
        <f>IF(tblWater[[#This Row],[Month]]="","",tblWater[[#This Row],[Intake (m3)]]-tblWater[[#This Row],[Discharge (m3)]])</f>
        <v>4713</v>
      </c>
      <c r="O10" s="39">
        <f>IF(tblWater[[#This Row],[Month]]="","",N(tblWater[[#This Row],[Supply charges]])+N(tblWater[[#This Row],[Wastewater charges]]))</f>
        <v>23591.18</v>
      </c>
      <c r="P10" s="39">
        <f>IF(tblWater[[#This Row],[Month]]="","",IF(N(tblWater[[#This Row],[Production]])&gt;0,tblWater[[#This Row],[Intake (m3)]]/tblWater[[#This Row],[Production]],""))</f>
        <v>2.46314525810324</v>
      </c>
      <c r="Q10" s="39">
        <f>IF(tblWater[[#This Row],[Month]]="","",IF(tblWater[[#This Row],[Intake (m3)]]&gt;0,tblWater[[#This Row],[Water cost]]/tblWater[[#This Row],[Intake (m3)]],""))</f>
        <v>2.29955941124866</v>
      </c>
      <c r="R10" s="40">
        <f>IF(tblWater[[#This Row],[Month]]="","",IF(N(tblWater[[#This Row],[Production]])&gt;0,tblWater[[#This Row],[Water cost]]/tblWater[[#This Row],[Production]],""))</f>
        <v>5.66414885954382</v>
      </c>
      <c r="S10" s="41">
        <f>IF(tblWater[[#This Row],[Month]]="","",IF(tblWater[[#This Row],[Intake (m3)]]+tblWater[[#This Row],[Recycled (m3)]]&gt;0,tblWater[[#This Row],[Recycled (m3)]]/(tblWater[[#This Row],[Intake (m3)]]+tblWater[[#This Row],[Recycled (m3)]]),""))</f>
        <v>0</v>
      </c>
      <c r="T10" s="42" t="str">
        <f>IF(NOT(ISNUMBER(tblWater[[#This Row],[Intensity]])),"",IF(tblWater[[#This Row],[Intensity]]&lt;=TargetIntensity,"On target",IF(tblWater[[#This Row],[Intensity]]&lt;=TargetIntensity*(1+0.05),"Near target","Above target")))</f>
        <v>Above target</v>
      </c>
      <c r="U10" s="43" t="str">
        <f>IF(tblWater[[#This Row],[Month]]="","",IF(tblWater[[#This Row],[Production]]="","Missing production",IF(DAY(tblWater[[#This Row],[Month]])&lt;&gt;1,"Use the 1st of the month",IF(COUNTIFS(tblWater[Month],tblWater[[#This Row],[Month]])&gt;1,"Duplicate month",IF(tblWater[[#This Row],[Discharge (m3)]]&gt;tblWater[[#This Row],[Intake (m3)]],"Discharge &gt; intake: check meters",IF(tblWater[[#This Row],[Intake (m3)]]=0,"No intake entered","OK"))))))</f>
        <v>OK</v>
      </c>
      <c r="V10" s="44" t="s">
        <v>87</v>
      </c>
    </row>
    <row r="11" spans="1:22">
      <c r="B11" s="36">
        <v>46054</v>
      </c>
      <c r="C11" s="37">
        <v>6114</v>
      </c>
      <c r="D11" s="37">
        <v>4428</v>
      </c>
      <c r="E11" s="37">
        <v>0</v>
      </c>
      <c r="F11" s="37">
        <v>0</v>
      </c>
      <c r="G11" s="37">
        <v>5617</v>
      </c>
      <c r="H11" s="30">
        <v>12082.26</v>
      </c>
      <c r="I11" s="30">
        <v>11975.7</v>
      </c>
      <c r="J11" s="37">
        <v>4370</v>
      </c>
      <c r="K11" s="38">
        <f>IF(tblWater[[#This Row],[Month]]="","",(N(tblWater[[#This Row],[Mains]])+N(tblWater[[#This Row],[Groundwater]])+N(tblWater[[#This Row],[Other intake]]))*M3PerUnit)</f>
        <v>10542</v>
      </c>
      <c r="L11" s="38">
        <f>IF(tblWater[[#This Row],[Month]]="","",N(tblWater[[#This Row],[Recycled water]])*M3PerUnit)</f>
        <v>0</v>
      </c>
      <c r="M11" s="38">
        <f>IF(tblWater[[#This Row],[Month]]="","",N(tblWater[[#This Row],[Discharge]])*M3PerUnit)</f>
        <v>5617</v>
      </c>
      <c r="N11" s="38">
        <f>IF(tblWater[[#This Row],[Month]]="","",tblWater[[#This Row],[Intake (m3)]]-tblWater[[#This Row],[Discharge (m3)]])</f>
        <v>4925</v>
      </c>
      <c r="O11" s="39">
        <f>IF(tblWater[[#This Row],[Month]]="","",N(tblWater[[#This Row],[Supply charges]])+N(tblWater[[#This Row],[Wastewater charges]]))</f>
        <v>24057.96</v>
      </c>
      <c r="P11" s="39">
        <f>IF(tblWater[[#This Row],[Month]]="","",IF(N(tblWater[[#This Row],[Production]])&gt;0,tblWater[[#This Row],[Intake (m3)]]/tblWater[[#This Row],[Production]],""))</f>
        <v>2.41235697940503</v>
      </c>
      <c r="Q11" s="39">
        <f>IF(tblWater[[#This Row],[Month]]="","",IF(tblWater[[#This Row],[Intake (m3)]]&gt;0,tblWater[[#This Row],[Water cost]]/tblWater[[#This Row],[Intake (m3)]],""))</f>
        <v>2.28210586226522</v>
      </c>
      <c r="R11" s="40">
        <f>IF(tblWater[[#This Row],[Month]]="","",IF(N(tblWater[[#This Row],[Production]])&gt;0,tblWater[[#This Row],[Water cost]]/tblWater[[#This Row],[Production]],""))</f>
        <v>5.50525400457666</v>
      </c>
      <c r="S11" s="41">
        <f>IF(tblWater[[#This Row],[Month]]="","",IF(tblWater[[#This Row],[Intake (m3)]]+tblWater[[#This Row],[Recycled (m3)]]&gt;0,tblWater[[#This Row],[Recycled (m3)]]/(tblWater[[#This Row],[Intake (m3)]]+tblWater[[#This Row],[Recycled (m3)]]),""))</f>
        <v>0</v>
      </c>
      <c r="T11" s="42" t="str">
        <f>IF(NOT(ISNUMBER(tblWater[[#This Row],[Intensity]])),"",IF(tblWater[[#This Row],[Intensity]]&lt;=TargetIntensity,"On target",IF(tblWater[[#This Row],[Intensity]]&lt;=TargetIntensity*(1+0.05),"Near target","Above target")))</f>
        <v>Above target</v>
      </c>
      <c r="U11" s="43" t="str">
        <f>IF(tblWater[[#This Row],[Month]]="","",IF(tblWater[[#This Row],[Production]]="","Missing production",IF(DAY(tblWater[[#This Row],[Month]])&lt;&gt;1,"Use the 1st of the month",IF(COUNTIFS(tblWater[Month],tblWater[[#This Row],[Month]])&gt;1,"Duplicate month",IF(tblWater[[#This Row],[Discharge (m3)]]&gt;tblWater[[#This Row],[Intake (m3)]],"Discharge &gt; intake: check meters",IF(tblWater[[#This Row],[Intake (m3)]]=0,"No intake entered","OK"))))))</f>
        <v>OK</v>
      </c>
      <c r="V11" s="44" t="s">
        <v>87</v>
      </c>
    </row>
    <row r="12" spans="1:22">
      <c r="B12" s="36">
        <v>46082</v>
      </c>
      <c r="C12" s="37">
        <v>5625</v>
      </c>
      <c r="D12" s="37">
        <v>4073</v>
      </c>
      <c r="E12" s="37">
        <v>0</v>
      </c>
      <c r="F12" s="37">
        <v>424</v>
      </c>
      <c r="G12" s="37">
        <v>4980</v>
      </c>
      <c r="H12" s="30">
        <v>11135.01</v>
      </c>
      <c r="I12" s="30">
        <v>10638</v>
      </c>
      <c r="J12" s="37">
        <v>4168</v>
      </c>
      <c r="K12" s="38">
        <f>IF(tblWater[[#This Row],[Month]]="","",(N(tblWater[[#This Row],[Mains]])+N(tblWater[[#This Row],[Groundwater]])+N(tblWater[[#This Row],[Other intake]]))*M3PerUnit)</f>
        <v>9698</v>
      </c>
      <c r="L12" s="38">
        <f>IF(tblWater[[#This Row],[Month]]="","",N(tblWater[[#This Row],[Recycled water]])*M3PerUnit)</f>
        <v>424</v>
      </c>
      <c r="M12" s="38">
        <f>IF(tblWater[[#This Row],[Month]]="","",N(tblWater[[#This Row],[Discharge]])*M3PerUnit)</f>
        <v>4980</v>
      </c>
      <c r="N12" s="38">
        <f>IF(tblWater[[#This Row],[Month]]="","",tblWater[[#This Row],[Intake (m3)]]-tblWater[[#This Row],[Discharge (m3)]])</f>
        <v>4718</v>
      </c>
      <c r="O12" s="39">
        <f>IF(tblWater[[#This Row],[Month]]="","",N(tblWater[[#This Row],[Supply charges]])+N(tblWater[[#This Row],[Wastewater charges]]))</f>
        <v>21773.01</v>
      </c>
      <c r="P12" s="39">
        <f>IF(tblWater[[#This Row],[Month]]="","",IF(N(tblWater[[#This Row],[Production]])&gt;0,tblWater[[#This Row],[Intake (m3)]]/tblWater[[#This Row],[Production]],""))</f>
        <v>2.3267754318618</v>
      </c>
      <c r="Q12" s="39">
        <f>IF(tblWater[[#This Row],[Month]]="","",IF(tblWater[[#This Row],[Intake (m3)]]&gt;0,tblWater[[#This Row],[Water cost]]/tblWater[[#This Row],[Intake (m3)]],""))</f>
        <v>2.24510311404413</v>
      </c>
      <c r="R12" s="40">
        <f>IF(tblWater[[#This Row],[Month]]="","",IF(N(tblWater[[#This Row],[Production]])&gt;0,tblWater[[#This Row],[Water cost]]/tblWater[[#This Row],[Production]],""))</f>
        <v>5.22385076775432</v>
      </c>
      <c r="S12" s="41">
        <f>IF(tblWater[[#This Row],[Month]]="","",IF(tblWater[[#This Row],[Intake (m3)]]+tblWater[[#This Row],[Recycled (m3)]]&gt;0,tblWater[[#This Row],[Recycled (m3)]]/(tblWater[[#This Row],[Intake (m3)]]+tblWater[[#This Row],[Recycled (m3)]]),""))</f>
        <v>0.0418889547520253</v>
      </c>
      <c r="T12" s="42" t="str">
        <f>IF(NOT(ISNUMBER(tblWater[[#This Row],[Intensity]])),"",IF(tblWater[[#This Row],[Intensity]]&lt;=TargetIntensity,"On target",IF(tblWater[[#This Row],[Intensity]]&lt;=TargetIntensity*(1+0.05),"Near target","Above target")))</f>
        <v>Above target</v>
      </c>
      <c r="U12" s="43" t="str">
        <f>IF(tblWater[[#This Row],[Month]]="","",IF(tblWater[[#This Row],[Production]]="","Missing production",IF(DAY(tblWater[[#This Row],[Month]])&lt;&gt;1,"Use the 1st of the month",IF(COUNTIFS(tblWater[Month],tblWater[[#This Row],[Month]])&gt;1,"Duplicate month",IF(tblWater[[#This Row],[Discharge (m3)]]&gt;tblWater[[#This Row],[Intake (m3)]],"Discharge &gt; intake: check meters",IF(tblWater[[#This Row],[Intake (m3)]]=0,"No intake entered","OK"))))))</f>
        <v>OK</v>
      </c>
      <c r="V12" s="44" t="s">
        <v>119</v>
      </c>
    </row>
    <row r="13" spans="1:22">
      <c r="B13" s="36">
        <v>46113</v>
      </c>
      <c r="C13" s="37">
        <v>5767</v>
      </c>
      <c r="D13" s="37">
        <v>4176</v>
      </c>
      <c r="E13" s="37">
        <v>0</v>
      </c>
      <c r="F13" s="37">
        <v>420</v>
      </c>
      <c r="G13" s="37">
        <v>5110</v>
      </c>
      <c r="H13" s="30">
        <v>11410.07</v>
      </c>
      <c r="I13" s="30">
        <v>10911</v>
      </c>
      <c r="J13" s="37">
        <v>4299</v>
      </c>
      <c r="K13" s="38">
        <f>IF(tblWater[[#This Row],[Month]]="","",(N(tblWater[[#This Row],[Mains]])+N(tblWater[[#This Row],[Groundwater]])+N(tblWater[[#This Row],[Other intake]]))*M3PerUnit)</f>
        <v>9943</v>
      </c>
      <c r="L13" s="38">
        <f>IF(tblWater[[#This Row],[Month]]="","",N(tblWater[[#This Row],[Recycled water]])*M3PerUnit)</f>
        <v>420</v>
      </c>
      <c r="M13" s="38">
        <f>IF(tblWater[[#This Row],[Month]]="","",N(tblWater[[#This Row],[Discharge]])*M3PerUnit)</f>
        <v>5110</v>
      </c>
      <c r="N13" s="38">
        <f>IF(tblWater[[#This Row],[Month]]="","",tblWater[[#This Row],[Intake (m3)]]-tblWater[[#This Row],[Discharge (m3)]])</f>
        <v>4833</v>
      </c>
      <c r="O13" s="39">
        <f>IF(tblWater[[#This Row],[Month]]="","",N(tblWater[[#This Row],[Supply charges]])+N(tblWater[[#This Row],[Wastewater charges]]))</f>
        <v>22321.07</v>
      </c>
      <c r="P13" s="39">
        <f>IF(tblWater[[#This Row],[Month]]="","",IF(N(tblWater[[#This Row],[Production]])&gt;0,tblWater[[#This Row],[Intake (m3)]]/tblWater[[#This Row],[Production]],""))</f>
        <v>2.31286345661782</v>
      </c>
      <c r="Q13" s="39">
        <f>IF(tblWater[[#This Row],[Month]]="","",IF(tblWater[[#This Row],[Intake (m3)]]&gt;0,tblWater[[#This Row],[Water cost]]/tblWater[[#This Row],[Intake (m3)]],""))</f>
        <v>2.24490294679674</v>
      </c>
      <c r="R13" s="40">
        <f>IF(tblWater[[#This Row],[Month]]="","",IF(N(tblWater[[#This Row],[Production]])&gt;0,tblWater[[#This Row],[Water cost]]/tblWater[[#This Row],[Production]],""))</f>
        <v>5.19215398929984</v>
      </c>
      <c r="S13" s="41">
        <f>IF(tblWater[[#This Row],[Month]]="","",IF(tblWater[[#This Row],[Intake (m3)]]+tblWater[[#This Row],[Recycled (m3)]]&gt;0,tblWater[[#This Row],[Recycled (m3)]]/(tblWater[[#This Row],[Intake (m3)]]+tblWater[[#This Row],[Recycled (m3)]]),""))</f>
        <v>0.0405288044002702</v>
      </c>
      <c r="T13" s="42" t="str">
        <f>IF(NOT(ISNUMBER(tblWater[[#This Row],[Intensity]])),"",IF(tblWater[[#This Row],[Intensity]]&lt;=TargetIntensity,"On target",IF(tblWater[[#This Row],[Intensity]]&lt;=TargetIntensity*(1+0.05),"Near target","Above target")))</f>
        <v>Above target</v>
      </c>
      <c r="U13" s="43" t="str">
        <f>IF(tblWater[[#This Row],[Month]]="","",IF(tblWater[[#This Row],[Production]]="","Missing production",IF(DAY(tblWater[[#This Row],[Month]])&lt;&gt;1,"Use the 1st of the month",IF(COUNTIFS(tblWater[Month],tblWater[[#This Row],[Month]])&gt;1,"Duplicate month",IF(tblWater[[#This Row],[Discharge (m3)]]&gt;tblWater[[#This Row],[Intake (m3)]],"Discharge &gt; intake: check meters",IF(tblWater[[#This Row],[Intake (m3)]]=0,"No intake entered","OK"))))))</f>
        <v>OK</v>
      </c>
      <c r="V13" s="44" t="s">
        <v>87</v>
      </c>
    </row>
    <row r="14" spans="1:22">
      <c r="B14" s="36">
        <v>46143</v>
      </c>
      <c r="C14" s="37">
        <v>6123</v>
      </c>
      <c r="D14" s="37">
        <v>4433</v>
      </c>
      <c r="E14" s="37">
        <v>0</v>
      </c>
      <c r="F14" s="37">
        <v>449</v>
      </c>
      <c r="G14" s="37">
        <v>5352</v>
      </c>
      <c r="H14" s="30">
        <v>12099.51</v>
      </c>
      <c r="I14" s="30">
        <v>11419.2</v>
      </c>
      <c r="J14" s="37">
        <v>4599</v>
      </c>
      <c r="K14" s="38">
        <f>IF(tblWater[[#This Row],[Month]]="","",(N(tblWater[[#This Row],[Mains]])+N(tblWater[[#This Row],[Groundwater]])+N(tblWater[[#This Row],[Other intake]]))*M3PerUnit)</f>
        <v>10556</v>
      </c>
      <c r="L14" s="38">
        <f>IF(tblWater[[#This Row],[Month]]="","",N(tblWater[[#This Row],[Recycled water]])*M3PerUnit)</f>
        <v>449</v>
      </c>
      <c r="M14" s="38">
        <f>IF(tblWater[[#This Row],[Month]]="","",N(tblWater[[#This Row],[Discharge]])*M3PerUnit)</f>
        <v>5352</v>
      </c>
      <c r="N14" s="38">
        <f>IF(tblWater[[#This Row],[Month]]="","",tblWater[[#This Row],[Intake (m3)]]-tblWater[[#This Row],[Discharge (m3)]])</f>
        <v>5204</v>
      </c>
      <c r="O14" s="39">
        <f>IF(tblWater[[#This Row],[Month]]="","",N(tblWater[[#This Row],[Supply charges]])+N(tblWater[[#This Row],[Wastewater charges]]))</f>
        <v>23518.71</v>
      </c>
      <c r="P14" s="39">
        <f>IF(tblWater[[#This Row],[Month]]="","",IF(N(tblWater[[#This Row],[Production]])&gt;0,tblWater[[#This Row],[Intake (m3)]]/tblWater[[#This Row],[Production]],""))</f>
        <v>2.29528158295282</v>
      </c>
      <c r="Q14" s="39">
        <f>IF(tblWater[[#This Row],[Month]]="","",IF(tblWater[[#This Row],[Intake (m3)]]&gt;0,tblWater[[#This Row],[Water cost]]/tblWater[[#This Row],[Intake (m3)]],""))</f>
        <v>2.22799450549451</v>
      </c>
      <c r="R14" s="40">
        <f>IF(tblWater[[#This Row],[Month]]="","",IF(N(tblWater[[#This Row],[Production]])&gt;0,tblWater[[#This Row],[Water cost]]/tblWater[[#This Row],[Production]],""))</f>
        <v>5.1138747553816</v>
      </c>
      <c r="S14" s="41">
        <f>IF(tblWater[[#This Row],[Month]]="","",IF(tblWater[[#This Row],[Intake (m3)]]+tblWater[[#This Row],[Recycled (m3)]]&gt;0,tblWater[[#This Row],[Recycled (m3)]]/(tblWater[[#This Row],[Intake (m3)]]+tblWater[[#This Row],[Recycled (m3)]]),""))</f>
        <v>0.0407996365288505</v>
      </c>
      <c r="T14" s="42" t="str">
        <f>IF(NOT(ISNUMBER(tblWater[[#This Row],[Intensity]])),"",IF(tblWater[[#This Row],[Intensity]]&lt;=TargetIntensity,"On target",IF(tblWater[[#This Row],[Intensity]]&lt;=TargetIntensity*(1+0.05),"Near target","Above target")))</f>
        <v>Near target</v>
      </c>
      <c r="U14" s="43" t="str">
        <f>IF(tblWater[[#This Row],[Month]]="","",IF(tblWater[[#This Row],[Production]]="","Missing production",IF(DAY(tblWater[[#This Row],[Month]])&lt;&gt;1,"Use the 1st of the month",IF(COUNTIFS(tblWater[Month],tblWater[[#This Row],[Month]])&gt;1,"Duplicate month",IF(tblWater[[#This Row],[Discharge (m3)]]&gt;tblWater[[#This Row],[Intake (m3)]],"Discharge &gt; intake: check meters",IF(tblWater[[#This Row],[Intake (m3)]]=0,"No intake entered","OK"))))))</f>
        <v>OK</v>
      </c>
      <c r="V14" s="44" t="s">
        <v>87</v>
      </c>
    </row>
    <row r="15" spans="1:22">
      <c r="B15" s="36">
        <v>46174</v>
      </c>
      <c r="C15" s="37">
        <v>8092</v>
      </c>
      <c r="D15" s="37">
        <v>5860</v>
      </c>
      <c r="E15" s="37">
        <v>0</v>
      </c>
      <c r="F15" s="37">
        <v>538</v>
      </c>
      <c r="G15" s="37">
        <v>7623</v>
      </c>
      <c r="H15" s="30">
        <v>15913.4</v>
      </c>
      <c r="I15" s="30">
        <v>16188.3</v>
      </c>
      <c r="J15" s="37">
        <v>5145</v>
      </c>
      <c r="K15" s="38">
        <f>IF(tblWater[[#This Row],[Month]]="","",(N(tblWater[[#This Row],[Mains]])+N(tblWater[[#This Row],[Groundwater]])+N(tblWater[[#This Row],[Other intake]]))*M3PerUnit)</f>
        <v>13952</v>
      </c>
      <c r="L15" s="38">
        <f>IF(tblWater[[#This Row],[Month]]="","",N(tblWater[[#This Row],[Recycled water]])*M3PerUnit)</f>
        <v>538</v>
      </c>
      <c r="M15" s="38">
        <f>IF(tblWater[[#This Row],[Month]]="","",N(tblWater[[#This Row],[Discharge]])*M3PerUnit)</f>
        <v>7623</v>
      </c>
      <c r="N15" s="38">
        <f>IF(tblWater[[#This Row],[Month]]="","",tblWater[[#This Row],[Intake (m3)]]-tblWater[[#This Row],[Discharge (m3)]])</f>
        <v>6329</v>
      </c>
      <c r="O15" s="39">
        <f>IF(tblWater[[#This Row],[Month]]="","",N(tblWater[[#This Row],[Supply charges]])+N(tblWater[[#This Row],[Wastewater charges]]))</f>
        <v>32101.7</v>
      </c>
      <c r="P15" s="39">
        <f>IF(tblWater[[#This Row],[Month]]="","",IF(N(tblWater[[#This Row],[Production]])&gt;0,tblWater[[#This Row],[Intake (m3)]]/tblWater[[#This Row],[Production]],""))</f>
        <v>2.71175898931001</v>
      </c>
      <c r="Q15" s="39">
        <f>IF(tblWater[[#This Row],[Month]]="","",IF(tblWater[[#This Row],[Intake (m3)]]&gt;0,tblWater[[#This Row],[Water cost]]/tblWater[[#This Row],[Intake (m3)]],""))</f>
        <v>2.30086725917431</v>
      </c>
      <c r="R15" s="40">
        <f>IF(tblWater[[#This Row],[Month]]="","",IF(N(tblWater[[#This Row],[Production]])&gt;0,tblWater[[#This Row],[Water cost]]/tblWater[[#This Row],[Production]],""))</f>
        <v>6.23939747327502</v>
      </c>
      <c r="S15" s="41">
        <f>IF(tblWater[[#This Row],[Month]]="","",IF(tblWater[[#This Row],[Intake (m3)]]+tblWater[[#This Row],[Recycled (m3)]]&gt;0,tblWater[[#This Row],[Recycled (m3)]]/(tblWater[[#This Row],[Intake (m3)]]+tblWater[[#This Row],[Recycled (m3)]]),""))</f>
        <v>0.0371290545203589</v>
      </c>
      <c r="T15" s="42" t="str">
        <f>IF(NOT(ISNUMBER(tblWater[[#This Row],[Intensity]])),"",IF(tblWater[[#This Row],[Intensity]]&lt;=TargetIntensity,"On target",IF(tblWater[[#This Row],[Intensity]]&lt;=TargetIntensity*(1+0.05),"Near target","Above target")))</f>
        <v>Above target</v>
      </c>
      <c r="U15" s="43" t="str">
        <f>IF(tblWater[[#This Row],[Month]]="","",IF(tblWater[[#This Row],[Production]]="","Missing production",IF(DAY(tblWater[[#This Row],[Month]])&lt;&gt;1,"Use the 1st of the month",IF(COUNTIFS(tblWater[Month],tblWater[[#This Row],[Month]])&gt;1,"Duplicate month",IF(tblWater[[#This Row],[Discharge (m3)]]&gt;tblWater[[#This Row],[Intake (m3)]],"Discharge &gt; intake: check meters",IF(tblWater[[#This Row],[Intake (m3)]]=0,"No intake entered","OK"))))))</f>
        <v>OK</v>
      </c>
      <c r="V15" s="44" t="s">
        <v>120</v>
      </c>
    </row>
    <row r="16" spans="1:22">
      <c r="B16" s="36">
        <v>46204</v>
      </c>
      <c r="C16" s="37">
        <v>7399</v>
      </c>
      <c r="D16" s="37">
        <v>5358</v>
      </c>
      <c r="E16" s="37">
        <v>0</v>
      </c>
      <c r="F16" s="37">
        <v>541</v>
      </c>
      <c r="G16" s="37">
        <v>6245</v>
      </c>
      <c r="H16" s="30">
        <v>14571.11</v>
      </c>
      <c r="I16" s="30">
        <v>13294.5</v>
      </c>
      <c r="J16" s="37">
        <v>5262</v>
      </c>
      <c r="K16" s="38">
        <f>IF(tblWater[[#This Row],[Month]]="","",(N(tblWater[[#This Row],[Mains]])+N(tblWater[[#This Row],[Groundwater]])+N(tblWater[[#This Row],[Other intake]]))*M3PerUnit)</f>
        <v>12757</v>
      </c>
      <c r="L16" s="38">
        <f>IF(tblWater[[#This Row],[Month]]="","",N(tblWater[[#This Row],[Recycled water]])*M3PerUnit)</f>
        <v>541</v>
      </c>
      <c r="M16" s="38">
        <f>IF(tblWater[[#This Row],[Month]]="","",N(tblWater[[#This Row],[Discharge]])*M3PerUnit)</f>
        <v>6245</v>
      </c>
      <c r="N16" s="38">
        <f>IF(tblWater[[#This Row],[Month]]="","",tblWater[[#This Row],[Intake (m3)]]-tblWater[[#This Row],[Discharge (m3)]])</f>
        <v>6512</v>
      </c>
      <c r="O16" s="39">
        <f>IF(tblWater[[#This Row],[Month]]="","",N(tblWater[[#This Row],[Supply charges]])+N(tblWater[[#This Row],[Wastewater charges]]))</f>
        <v>27865.61</v>
      </c>
      <c r="P16" s="39">
        <f>IF(tblWater[[#This Row],[Month]]="","",IF(N(tblWater[[#This Row],[Production]])&gt;0,tblWater[[#This Row],[Intake (m3)]]/tblWater[[#This Row],[Production]],""))</f>
        <v>2.42436335993919</v>
      </c>
      <c r="Q16" s="39">
        <f>IF(tblWater[[#This Row],[Month]]="","",IF(tblWater[[#This Row],[Intake (m3)]]&gt;0,tblWater[[#This Row],[Water cost]]/tblWater[[#This Row],[Intake (m3)]],""))</f>
        <v>2.1843387943874</v>
      </c>
      <c r="R16" s="40">
        <f>IF(tblWater[[#This Row],[Month]]="","",IF(N(tblWater[[#This Row],[Production]])&gt;0,tblWater[[#This Row],[Water cost]]/tblWater[[#This Row],[Production]],""))</f>
        <v>5.29563093880654</v>
      </c>
      <c r="S16" s="41">
        <f>IF(tblWater[[#This Row],[Month]]="","",IF(tblWater[[#This Row],[Intake (m3)]]+tblWater[[#This Row],[Recycled (m3)]]&gt;0,tblWater[[#This Row],[Recycled (m3)]]/(tblWater[[#This Row],[Intake (m3)]]+tblWater[[#This Row],[Recycled (m3)]]),""))</f>
        <v>0.0406828094450293</v>
      </c>
      <c r="T16" s="42" t="str">
        <f>IF(NOT(ISNUMBER(tblWater[[#This Row],[Intensity]])),"",IF(tblWater[[#This Row],[Intensity]]&lt;=TargetIntensity,"On target",IF(tblWater[[#This Row],[Intensity]]&lt;=TargetIntensity*(1+0.05),"Near target","Above target")))</f>
        <v>Above target</v>
      </c>
      <c r="U16" s="43" t="str">
        <f>IF(tblWater[[#This Row],[Month]]="","",IF(tblWater[[#This Row],[Production]]="","Missing production",IF(DAY(tblWater[[#This Row],[Month]])&lt;&gt;1,"Use the 1st of the month",IF(COUNTIFS(tblWater[Month],tblWater[[#This Row],[Month]])&gt;1,"Duplicate month",IF(tblWater[[#This Row],[Discharge (m3)]]&gt;tblWater[[#This Row],[Intake (m3)]],"Discharge &gt; intake: check meters",IF(tblWater[[#This Row],[Intake (m3)]]=0,"No intake entered","OK"))))))</f>
        <v>OK</v>
      </c>
      <c r="V16" s="44" t="s">
        <v>87</v>
      </c>
    </row>
    <row r="17" spans="2:22">
      <c r="B17" s="36">
        <v>46235</v>
      </c>
      <c r="C17" s="37">
        <v>6968</v>
      </c>
      <c r="D17" s="37">
        <v>5046</v>
      </c>
      <c r="E17" s="37">
        <v>420</v>
      </c>
      <c r="F17" s="37">
        <v>530</v>
      </c>
      <c r="G17" s="37">
        <v>6085</v>
      </c>
      <c r="H17" s="30">
        <v>15626.32</v>
      </c>
      <c r="I17" s="30">
        <v>12958.5</v>
      </c>
      <c r="J17" s="37">
        <v>5119</v>
      </c>
      <c r="K17" s="38">
        <f>IF(tblWater[[#This Row],[Month]]="","",(N(tblWater[[#This Row],[Mains]])+N(tblWater[[#This Row],[Groundwater]])+N(tblWater[[#This Row],[Other intake]]))*M3PerUnit)</f>
        <v>12434</v>
      </c>
      <c r="L17" s="38">
        <f>IF(tblWater[[#This Row],[Month]]="","",N(tblWater[[#This Row],[Recycled water]])*M3PerUnit)</f>
        <v>530</v>
      </c>
      <c r="M17" s="38">
        <f>IF(tblWater[[#This Row],[Month]]="","",N(tblWater[[#This Row],[Discharge]])*M3PerUnit)</f>
        <v>6085</v>
      </c>
      <c r="N17" s="38">
        <f>IF(tblWater[[#This Row],[Month]]="","",tblWater[[#This Row],[Intake (m3)]]-tblWater[[#This Row],[Discharge (m3)]])</f>
        <v>6349</v>
      </c>
      <c r="O17" s="39">
        <f>IF(tblWater[[#This Row],[Month]]="","",N(tblWater[[#This Row],[Supply charges]])+N(tblWater[[#This Row],[Wastewater charges]]))</f>
        <v>28584.82</v>
      </c>
      <c r="P17" s="39">
        <f>IF(tblWater[[#This Row],[Month]]="","",IF(N(tblWater[[#This Row],[Production]])&gt;0,tblWater[[#This Row],[Intake (m3)]]/tblWater[[#This Row],[Production]],""))</f>
        <v>2.42899003711662</v>
      </c>
      <c r="Q17" s="39">
        <f>IF(tblWater[[#This Row],[Month]]="","",IF(tblWater[[#This Row],[Intake (m3)]]&gt;0,tblWater[[#This Row],[Water cost]]/tblWater[[#This Row],[Intake (m3)]],""))</f>
        <v>2.29892391828856</v>
      </c>
      <c r="R17" s="40">
        <f>IF(tblWater[[#This Row],[Month]]="","",IF(N(tblWater[[#This Row],[Production]])&gt;0,tblWater[[#This Row],[Water cost]]/tblWater[[#This Row],[Production]],""))</f>
        <v>5.58406329361203</v>
      </c>
      <c r="S17" s="41">
        <f>IF(tblWater[[#This Row],[Month]]="","",IF(tblWater[[#This Row],[Intake (m3)]]+tblWater[[#This Row],[Recycled (m3)]]&gt;0,tblWater[[#This Row],[Recycled (m3)]]/(tblWater[[#This Row],[Intake (m3)]]+tblWater[[#This Row],[Recycled (m3)]]),""))</f>
        <v>0.0408824436902191</v>
      </c>
      <c r="T17" s="42" t="str">
        <f>IF(NOT(ISNUMBER(tblWater[[#This Row],[Intensity]])),"",IF(tblWater[[#This Row],[Intensity]]&lt;=TargetIntensity,"On target",IF(tblWater[[#This Row],[Intensity]]&lt;=TargetIntensity*(1+0.05),"Near target","Above target")))</f>
        <v>Above target</v>
      </c>
      <c r="U17" s="43" t="str">
        <f>IF(tblWater[[#This Row],[Month]]="","",IF(tblWater[[#This Row],[Production]]="","Missing production",IF(DAY(tblWater[[#This Row],[Month]])&lt;&gt;1,"Use the 1st of the month",IF(COUNTIFS(tblWater[Month],tblWater[[#This Row],[Month]])&gt;1,"Duplicate month",IF(tblWater[[#This Row],[Discharge (m3)]]&gt;tblWater[[#This Row],[Intake (m3)]],"Discharge &gt; intake: check meters",IF(tblWater[[#This Row],[Intake (m3)]]=0,"No intake entered","OK"))))))</f>
        <v>OK</v>
      </c>
      <c r="V17" s="44" t="s">
        <v>121</v>
      </c>
    </row>
    <row r="18" spans="2:22">
      <c r="B18" s="36">
        <v>46266</v>
      </c>
      <c r="C18" s="37">
        <v>5936</v>
      </c>
      <c r="D18" s="37">
        <v>4298</v>
      </c>
      <c r="E18" s="37">
        <v>0</v>
      </c>
      <c r="F18" s="37">
        <v>448</v>
      </c>
      <c r="G18" s="37">
        <v>5155</v>
      </c>
      <c r="H18" s="30">
        <v>11737.36</v>
      </c>
      <c r="I18" s="30">
        <v>11005.5</v>
      </c>
      <c r="J18" s="37">
        <v>4496</v>
      </c>
      <c r="K18" s="38">
        <f>IF(tblWater[[#This Row],[Month]]="","",(N(tblWater[[#This Row],[Mains]])+N(tblWater[[#This Row],[Groundwater]])+N(tblWater[[#This Row],[Other intake]]))*M3PerUnit)</f>
        <v>10234</v>
      </c>
      <c r="L18" s="38">
        <f>IF(tblWater[[#This Row],[Month]]="","",N(tblWater[[#This Row],[Recycled water]])*M3PerUnit)</f>
        <v>448</v>
      </c>
      <c r="M18" s="38">
        <f>IF(tblWater[[#This Row],[Month]]="","",N(tblWater[[#This Row],[Discharge]])*M3PerUnit)</f>
        <v>5155</v>
      </c>
      <c r="N18" s="38">
        <f>IF(tblWater[[#This Row],[Month]]="","",tblWater[[#This Row],[Intake (m3)]]-tblWater[[#This Row],[Discharge (m3)]])</f>
        <v>5079</v>
      </c>
      <c r="O18" s="39">
        <f>IF(tblWater[[#This Row],[Month]]="","",N(tblWater[[#This Row],[Supply charges]])+N(tblWater[[#This Row],[Wastewater charges]]))</f>
        <v>22742.86</v>
      </c>
      <c r="P18" s="39">
        <f>IF(tblWater[[#This Row],[Month]]="","",IF(N(tblWater[[#This Row],[Production]])&gt;0,tblWater[[#This Row],[Intake (m3)]]/tblWater[[#This Row],[Production]],""))</f>
        <v>2.27624555160142</v>
      </c>
      <c r="Q18" s="39">
        <f>IF(tblWater[[#This Row],[Month]]="","",IF(tblWater[[#This Row],[Intake (m3)]]&gt;0,tblWater[[#This Row],[Water cost]]/tblWater[[#This Row],[Intake (m3)]],""))</f>
        <v>2.22228454172367</v>
      </c>
      <c r="R18" s="40">
        <f>IF(tblWater[[#This Row],[Month]]="","",IF(N(tblWater[[#This Row],[Production]])&gt;0,tblWater[[#This Row],[Water cost]]/tblWater[[#This Row],[Production]],""))</f>
        <v>5.0584653024911</v>
      </c>
      <c r="S18" s="41">
        <f>IF(tblWater[[#This Row],[Month]]="","",IF(tblWater[[#This Row],[Intake (m3)]]+tblWater[[#This Row],[Recycled (m3)]]&gt;0,tblWater[[#This Row],[Recycled (m3)]]/(tblWater[[#This Row],[Intake (m3)]]+tblWater[[#This Row],[Recycled (m3)]]),""))</f>
        <v>0.0419397116644823</v>
      </c>
      <c r="T18" s="42" t="str">
        <f>IF(NOT(ISNUMBER(tblWater[[#This Row],[Intensity]])),"",IF(tblWater[[#This Row],[Intensity]]&lt;=TargetIntensity,"On target",IF(tblWater[[#This Row],[Intensity]]&lt;=TargetIntensity*(1+0.05),"Near target","Above target")))</f>
        <v>Near target</v>
      </c>
      <c r="U18" s="43" t="str">
        <f>IF(tblWater[[#This Row],[Month]]="","",IF(tblWater[[#This Row],[Production]]="","Missing production",IF(DAY(tblWater[[#This Row],[Month]])&lt;&gt;1,"Use the 1st of the month",IF(COUNTIFS(tblWater[Month],tblWater[[#This Row],[Month]])&gt;1,"Duplicate month",IF(tblWater[[#This Row],[Discharge (m3)]]&gt;tblWater[[#This Row],[Intake (m3)]],"Discharge &gt; intake: check meters",IF(tblWater[[#This Row],[Intake (m3)]]=0,"No intake entered","OK"))))))</f>
        <v>OK</v>
      </c>
      <c r="V18" s="44" t="s">
        <v>87</v>
      </c>
    </row>
  </sheetData>
  <mergeCells count="3">
    <mergeCell ref="A1:V1"/>
    <mergeCell ref="B2:U2"/>
    <mergeCell ref="B4:V4"/>
  </mergeCells>
  <conditionalFormatting sqref="P7:P518">
    <cfRule type="expression" dxfId="3" priority="1" stopIfTrue="1">
      <formula>AND(ISNUMBER(P7),P7&lt;=(TargetIntensity))</formula>
    </cfRule>
    <cfRule type="expression" dxfId="4" priority="2" stopIfTrue="1">
      <formula>AND(ISNUMBER(P7),P7&lt;=(TargetIntensity)*(1+0.05))</formula>
    </cfRule>
    <cfRule type="expression" dxfId="5" priority="3">
      <formula>ISNUMBER(P7)</formula>
    </cfRule>
  </conditionalFormatting>
  <conditionalFormatting sqref="T7:T518">
    <cfRule type="cellIs" dxfId="0" priority="4" operator="equal">
      <formula>"On target"</formula>
    </cfRule>
    <cfRule type="cellIs" dxfId="0" priority="5" operator="equal">
      <formula>"PASS"</formula>
    </cfRule>
    <cfRule type="cellIs" dxfId="0" priority="6" operator="equal">
      <formula>"OK"</formula>
    </cfRule>
    <cfRule type="cellIs" dxfId="0" priority="7" operator="equal">
      <formula>"Within limits"</formula>
    </cfRule>
    <cfRule type="cellIs" dxfId="0" priority="8" operator="equal">
      <formula>"Under capacity"</formula>
    </cfRule>
    <cfRule type="cellIs" dxfId="0" priority="9" operator="equal">
      <formula>"Complete"</formula>
    </cfRule>
    <cfRule type="cellIs" dxfId="0" priority="10" operator="equal">
      <formula>"Yes"</formula>
    </cfRule>
    <cfRule type="cellIs" dxfId="1" priority="11" operator="equal">
      <formula>"Near target"</formula>
    </cfRule>
    <cfRule type="cellIs" dxfId="1" priority="12" operator="equal">
      <formula>"Check"</formula>
    </cfRule>
    <cfRule type="cellIs" dxfId="1" priority="13" operator="equal">
      <formula>"Due soon"</formula>
    </cfRule>
    <cfRule type="cellIs" dxfId="1" priority="14" operator="equal">
      <formula>"Near capacity"</formula>
    </cfRule>
    <cfRule type="cellIs" dxfId="1" priority="15" operator="equal">
      <formula>"In progress"</formula>
    </cfRule>
    <cfRule type="cellIs" dxfId="1" priority="16" operator="equal">
      <formula>"Partial"</formula>
    </cfRule>
    <cfRule type="cellIs" dxfId="2" priority="17" operator="equal">
      <formula>"Below target"</formula>
    </cfRule>
    <cfRule type="cellIs" dxfId="2" priority="18" operator="equal">
      <formula>"Above target"</formula>
    </cfRule>
    <cfRule type="cellIs" dxfId="2" priority="19" operator="equal">
      <formula>"FAIL"</formula>
    </cfRule>
    <cfRule type="cellIs" dxfId="2" priority="20" operator="equal">
      <formula>"Over capacity"</formula>
    </cfRule>
    <cfRule type="cellIs" dxfId="2" priority="21" operator="equal">
      <formula>"Overdue"</formula>
    </cfRule>
    <cfRule type="cellIs" dxfId="2" priority="22" operator="equal">
      <formula>"Out of limits"</formula>
    </cfRule>
    <cfRule type="cellIs" dxfId="2" priority="23" operator="equal">
      <formula>"No"</formula>
    </cfRule>
  </conditionalFormatting>
  <conditionalFormatting sqref="U7:U518">
    <cfRule type="expression" dxfId="3" priority="24">
      <formula>$U7="OK"</formula>
    </cfRule>
    <cfRule type="expression" dxfId="1" priority="25">
      <formula>AND($U7&lt;&gt;"",$U7&lt;&gt;"OK")</formula>
    </cfRule>
  </conditionalFormatting>
  <dataValidations count="10">
    <dataValidation type="date" allowBlank="1" showInputMessage="1" showErrorMessage="1" errorTitle="Check this entry" error="Enter a date between 01 Jan 2000 and 31 Dec 2100." promptTitle="Month" prompt="The first day of the month, e.g. 1 Mar 2026. Enter a date between 01 Jan 2000 and 31 Dec 2100." sqref="B7:B518">
      <formula1>36526</formula1>
      <formula2>73415</formula2>
    </dataValidation>
    <dataValidation type="decimal" allowBlank="1" showInputMessage="1" showErrorMessage="1" errorTitle="Check this entry" error="Enter a number of at least 0." promptTitle="Mains" prompt="Water bought from the public supply (mains, municipal) in the month. Enter a number of at least 0." sqref="C7:C518">
      <formula1>0</formula1>
      <formula2>1000000000000.0</formula2>
    </dataValidation>
    <dataValidation type="decimal" allowBlank="1" showInputMessage="1" showErrorMessage="1" errorTitle="Check this entry" error="Enter a number of at least 0." promptTitle="Groundwater" prompt="Water abstracted from your own borehole or well. Enter a number of at least 0." sqref="D7:D518">
      <formula1>0</formula1>
      <formula2>1000000000000.0</formula2>
    </dataValidation>
    <dataValidation type="decimal" allowBlank="1" showInputMessage="1" showErrorMessage="1" errorTitle="Check this entry" error="Enter a number of at least 0." promptTitle="Other intake" prompt="Tanker water, rainwater, river or other sources. 0 if none. Enter a number of at least 0." sqref="E7:E518">
      <formula1>0</formula1>
      <formula2>1000000000000.0</formula2>
    </dataValidation>
    <dataValidation type="decimal" allowBlank="1" showInputMessage="1" showErrorMessage="1" errorTitle="Check this entry" error="Enter a number of at least 0." promptTitle="Recycled water" prompt="Water recovered on site and used again (e.g. CIP final rinse reused as pre-rinse). Not part of intake. Enter a number of at least 0." sqref="F7:F518">
      <formula1>0</formula1>
      <formula2>1000000000000.0</formula2>
    </dataValidation>
    <dataValidation type="decimal" allowBlank="1" showInputMessage="1" showErrorMessage="1" errorTitle="Check this entry" error="Enter a number of at least 0." promptTitle="Discharge" prompt="Wastewater sent to sewer or a treatment works, from the effluent meter or bill. Enter a number of at least 0." sqref="G7:G518">
      <formula1>0</formula1>
      <formula2>1000000000000.0</formula2>
    </dataValidation>
    <dataValidation type="decimal" allowBlank="1" showInputMessage="1" showErrorMessage="1" errorTitle="Check this entry" error="Enter a number of at least 0." promptTitle="Supply charges" prompt="All water supply and abstraction charges for the month. Enter a number of at least 0." sqref="H7:H518">
      <formula1>0</formula1>
      <formula2>10000000000.0</formula2>
    </dataValidation>
    <dataValidation type="decimal" allowBlank="1" showInputMessage="1" showErrorMessage="1" errorTitle="Check this entry" error="Enter a number of at least 0." promptTitle="Wastewater charges" prompt="Sewerage, trade effluent and treatment charges for the month. Enter a number of at least 0." sqref="I7:I518">
      <formula1>0</formula1>
      <formula2>10000000000.0</formula2>
    </dataValidation>
    <dataValidation type="decimal" allowBlank="1" showInputMessage="1" showErrorMessage="1" errorTitle="Check this entry" error="Enter a number of at least 0." promptTitle="Production" prompt="Good output in the same month, in the unit set on Setup. Enter a number of at least 0." sqref="J7:J518">
      <formula1>0</formula1>
      <formula2>1000000000000.0</formula2>
    </dataValidation>
    <dataValidation type="textLength" allowBlank="1" showInputMessage="1" showErrorMessage="1" errorTitle="Check this entry" error="Text up to 255 characters." promptTitle="Notes" prompt="Text up to 255 characters." sqref="V7:V518">
      <formula1>0</formula1>
      <formula2>255</formula2>
    </dataValidation>
  </dataValidations>
  <hyperlinks>
    <hyperlink ref="V2" r:id="rId1" tooltip="Free manufacturing calculators and templates"/>
  </hyperlinks>
  <pageMargins left="0.4" right="0.4" top="0.7" bottom="0.65" header="0.3" footer="0.3"/>
  <pageSetup fitToHeight="0" orientation="landscape"/>
  <headerFooter>
    <oddHeader>&amp;L&amp;8MFG Calcs - Water Use Tracker&amp;R&amp;8&amp;A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3B64D8"/>
    <pageSetUpPr fitToPage="1"/>
  </sheetPr>
  <dimension ref="A1:H78"/>
  <sheetViews>
    <sheetView workbookViewId="0">
      <pane xSplit="3" ySplit="6" topLeftCell="D7" activePane="bottomRight" state="frozen"/>
      <selection pane="topRight" activeCell="D1" sqref="D1"/>
      <selection pane="bottomLeft" activeCell="A7" sqref="A7"/>
      <selection pane="bottomRight"/>
    </sheetView>
  </sheetViews>
  <sheetFormatPr defaultRowHeight="15"/>
  <cols>
    <col min="1" max="1" width="2.7109375" customWidth="1"/>
    <col min="2" max="2" width="11.7109375" customWidth="1"/>
    <col min="3" max="3" width="22.7109375" customWidth="1"/>
    <col min="4" max="6" width="10.7109375" customWidth="1"/>
    <col min="7" max="7" width="30.7109375" customWidth="1"/>
    <col min="8" max="8" width="26.7109375" customWidth="1"/>
  </cols>
  <sheetData>
    <row r="1" spans="1:8" ht="30" customHeight="1">
      <c r="A1" s="1" t="s">
        <v>0</v>
      </c>
      <c r="B1" s="1"/>
      <c r="C1" s="1"/>
      <c r="D1" s="1"/>
      <c r="E1" s="1"/>
      <c r="F1" s="1"/>
      <c r="G1" s="1"/>
      <c r="H1" s="1"/>
    </row>
    <row r="2" spans="1:8" ht="21" customHeight="1">
      <c r="B2" s="2" t="s">
        <v>24</v>
      </c>
      <c r="C2" s="2"/>
      <c r="D2" s="2"/>
      <c r="E2" s="2"/>
      <c r="F2" s="2"/>
      <c r="G2" s="2"/>
      <c r="H2" s="3" t="s">
        <v>2</v>
      </c>
    </row>
    <row r="3" spans="1:8" ht="6" customHeight="1"/>
    <row r="4" spans="1:8" ht="29.76" customHeight="1">
      <c r="B4" s="33" t="s">
        <v>125</v>
      </c>
      <c r="C4" s="33"/>
      <c r="D4" s="33"/>
      <c r="E4" s="33"/>
      <c r="F4" s="33"/>
      <c r="G4" s="33"/>
      <c r="H4" s="33"/>
    </row>
    <row r="5" spans="1:8" ht="14" customHeight="1">
      <c r="B5" s="35"/>
      <c r="C5" s="35"/>
      <c r="D5" s="35" t="str">
        <f>VolUnit</f>
        <v>m3</v>
      </c>
      <c r="E5" s="35"/>
      <c r="F5" s="35"/>
      <c r="G5" s="35"/>
      <c r="H5" s="35"/>
    </row>
    <row r="6" spans="1:8" ht="32" customHeight="1">
      <c r="B6" s="34" t="s">
        <v>97</v>
      </c>
      <c r="C6" s="34" t="s">
        <v>64</v>
      </c>
      <c r="D6" s="34" t="s">
        <v>122</v>
      </c>
      <c r="E6" s="34" t="s">
        <v>123</v>
      </c>
      <c r="F6" s="34" t="s">
        <v>124</v>
      </c>
      <c r="G6" s="34" t="s">
        <v>116</v>
      </c>
      <c r="H6" s="34" t="s">
        <v>66</v>
      </c>
    </row>
    <row r="7" spans="1:8">
      <c r="B7" s="36">
        <v>45931</v>
      </c>
      <c r="C7" s="28" t="s">
        <v>82</v>
      </c>
      <c r="D7" s="37">
        <v>4036</v>
      </c>
      <c r="E7" s="38">
        <f>IF(tblSubMeters[[#This Row],[Month]]="","",N(tblSubMeters[[#This Row],[Volume]])*M3PerUnit)</f>
        <v>4036</v>
      </c>
      <c r="F7" s="41">
        <f>IF(tblSubMeters[[#This Row],[Month]]="","",IFERROR(tblSubMeters[[#This Row],[Volume (m3)]]/INDEX(tblWater[Intake (m3)],MATCH(tblSubMeters[[#This Row],[Month]],tblWater[Month],0)),""))</f>
        <v>0.38314030757547</v>
      </c>
      <c r="G7"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7" s="28" t="s">
        <v>87</v>
      </c>
    </row>
    <row r="8" spans="1:8">
      <c r="B8" s="36">
        <v>45931</v>
      </c>
      <c r="C8" s="28" t="s">
        <v>85</v>
      </c>
      <c r="D8" s="37">
        <v>1262</v>
      </c>
      <c r="E8" s="38">
        <f>IF(tblSubMeters[[#This Row],[Month]]="","",N(tblSubMeters[[#This Row],[Volume]])*M3PerUnit)</f>
        <v>1262</v>
      </c>
      <c r="F8" s="41">
        <f>IF(tblSubMeters[[#This Row],[Month]]="","",IFERROR(tblSubMeters[[#This Row],[Volume (m3)]]/INDEX(tblWater[Intake (m3)],MATCH(tblSubMeters[[#This Row],[Month]],tblWater[Month],0)),""))</f>
        <v>0.119802544142776</v>
      </c>
      <c r="G8"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8" s="28" t="s">
        <v>87</v>
      </c>
    </row>
    <row r="9" spans="1:8">
      <c r="B9" s="36">
        <v>45931</v>
      </c>
      <c r="C9" s="28" t="s">
        <v>88</v>
      </c>
      <c r="D9" s="37">
        <v>2432</v>
      </c>
      <c r="E9" s="38">
        <f>IF(tblSubMeters[[#This Row],[Month]]="","",N(tblSubMeters[[#This Row],[Volume]])*M3PerUnit)</f>
        <v>2432</v>
      </c>
      <c r="F9" s="41">
        <f>IF(tblSubMeters[[#This Row],[Month]]="","",IFERROR(tblSubMeters[[#This Row],[Volume (m3)]]/INDEX(tblWater[Intake (m3)],MATCH(tblSubMeters[[#This Row],[Month]],tblWater[Month],0)),""))</f>
        <v>0.230871463831403</v>
      </c>
      <c r="G9"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9" s="28" t="s">
        <v>87</v>
      </c>
    </row>
    <row r="10" spans="1:8">
      <c r="B10" s="36">
        <v>45931</v>
      </c>
      <c r="C10" s="28" t="s">
        <v>91</v>
      </c>
      <c r="D10" s="37">
        <v>600</v>
      </c>
      <c r="E10" s="38">
        <f>IF(tblSubMeters[[#This Row],[Month]]="","",N(tblSubMeters[[#This Row],[Volume]])*M3PerUnit)</f>
        <v>600</v>
      </c>
      <c r="F10" s="41">
        <f>IF(tblSubMeters[[#This Row],[Month]]="","",IFERROR(tblSubMeters[[#This Row],[Volume (m3)]]/INDEX(tblWater[Intake (m3)],MATCH(tblSubMeters[[#This Row],[Month]],tblWater[Month],0)),""))</f>
        <v>0.0569584203531422</v>
      </c>
      <c r="G10"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10" s="28" t="s">
        <v>87</v>
      </c>
    </row>
    <row r="11" spans="1:8">
      <c r="B11" s="36">
        <v>45931</v>
      </c>
      <c r="C11" s="28" t="s">
        <v>93</v>
      </c>
      <c r="D11" s="37">
        <v>963</v>
      </c>
      <c r="E11" s="38">
        <f>IF(tblSubMeters[[#This Row],[Month]]="","",N(tblSubMeters[[#This Row],[Volume]])*M3PerUnit)</f>
        <v>963</v>
      </c>
      <c r="F11" s="41">
        <f>IF(tblSubMeters[[#This Row],[Month]]="","",IFERROR(tblSubMeters[[#This Row],[Volume (m3)]]/INDEX(tblWater[Intake (m3)],MATCH(tblSubMeters[[#This Row],[Month]],tblWater[Month],0)),""))</f>
        <v>0.0914182646667932</v>
      </c>
      <c r="G11"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11" s="28" t="s">
        <v>87</v>
      </c>
    </row>
    <row r="12" spans="1:8">
      <c r="B12" s="36">
        <v>45931</v>
      </c>
      <c r="C12" s="28" t="s">
        <v>95</v>
      </c>
      <c r="D12" s="37">
        <v>504</v>
      </c>
      <c r="E12" s="38">
        <f>IF(tblSubMeters[[#This Row],[Month]]="","",N(tblSubMeters[[#This Row],[Volume]])*M3PerUnit)</f>
        <v>504</v>
      </c>
      <c r="F12" s="41">
        <f>IF(tblSubMeters[[#This Row],[Month]]="","",IFERROR(tblSubMeters[[#This Row],[Volume (m3)]]/INDEX(tblWater[Intake (m3)],MATCH(tblSubMeters[[#This Row],[Month]],tblWater[Month],0)),""))</f>
        <v>0.0478450730966395</v>
      </c>
      <c r="G12"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12" s="28" t="s">
        <v>87</v>
      </c>
    </row>
    <row r="13" spans="1:8">
      <c r="B13" s="36">
        <v>45962</v>
      </c>
      <c r="C13" s="28" t="s">
        <v>82</v>
      </c>
      <c r="D13" s="37">
        <v>4065</v>
      </c>
      <c r="E13" s="38">
        <f>IF(tblSubMeters[[#This Row],[Month]]="","",N(tblSubMeters[[#This Row],[Volume]])*M3PerUnit)</f>
        <v>4065</v>
      </c>
      <c r="F13" s="41">
        <f>IF(tblSubMeters[[#This Row],[Month]]="","",IFERROR(tblSubMeters[[#This Row],[Volume (m3)]]/INDEX(tblWater[Intake (m3)],MATCH(tblSubMeters[[#This Row],[Month]],tblWater[Month],0)),""))</f>
        <v>0.38858617722971</v>
      </c>
      <c r="G13"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13" s="28" t="s">
        <v>87</v>
      </c>
    </row>
    <row r="14" spans="1:8">
      <c r="B14" s="36">
        <v>45962</v>
      </c>
      <c r="C14" s="28" t="s">
        <v>85</v>
      </c>
      <c r="D14" s="37">
        <v>1252</v>
      </c>
      <c r="E14" s="38">
        <f>IF(tblSubMeters[[#This Row],[Month]]="","",N(tblSubMeters[[#This Row],[Volume]])*M3PerUnit)</f>
        <v>1252</v>
      </c>
      <c r="F14" s="41">
        <f>IF(tblSubMeters[[#This Row],[Month]]="","",IFERROR(tblSubMeters[[#This Row],[Volume (m3)]]/INDEX(tblWater[Intake (m3)],MATCH(tblSubMeters[[#This Row],[Month]],tblWater[Month],0)),""))</f>
        <v>0.11968263072364</v>
      </c>
      <c r="G14"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14" s="28" t="s">
        <v>87</v>
      </c>
    </row>
    <row r="15" spans="1:8">
      <c r="B15" s="36">
        <v>45962</v>
      </c>
      <c r="C15" s="28" t="s">
        <v>88</v>
      </c>
      <c r="D15" s="37">
        <v>2384</v>
      </c>
      <c r="E15" s="38">
        <f>IF(tblSubMeters[[#This Row],[Month]]="","",N(tblSubMeters[[#This Row],[Volume]])*M3PerUnit)</f>
        <v>2384</v>
      </c>
      <c r="F15" s="41">
        <f>IF(tblSubMeters[[#This Row],[Month]]="","",IFERROR(tblSubMeters[[#This Row],[Volume (m3)]]/INDEX(tblWater[Intake (m3)],MATCH(tblSubMeters[[#This Row],[Month]],tblWater[Month],0)),""))</f>
        <v>0.227894082783673</v>
      </c>
      <c r="G15"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15" s="28" t="s">
        <v>87</v>
      </c>
    </row>
    <row r="16" spans="1:8">
      <c r="B16" s="36">
        <v>45962</v>
      </c>
      <c r="C16" s="28" t="s">
        <v>91</v>
      </c>
      <c r="D16" s="37">
        <v>591</v>
      </c>
      <c r="E16" s="38">
        <f>IF(tblSubMeters[[#This Row],[Month]]="","",N(tblSubMeters[[#This Row],[Volume]])*M3PerUnit)</f>
        <v>591</v>
      </c>
      <c r="F16" s="41">
        <f>IF(tblSubMeters[[#This Row],[Month]]="","",IFERROR(tblSubMeters[[#This Row],[Volume (m3)]]/INDEX(tblWater[Intake (m3)],MATCH(tblSubMeters[[#This Row],[Month]],tblWater[Month],0)),""))</f>
        <v>0.0564955549182679</v>
      </c>
      <c r="G16"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16" s="28" t="s">
        <v>87</v>
      </c>
    </row>
    <row r="17" spans="2:8">
      <c r="B17" s="36">
        <v>45962</v>
      </c>
      <c r="C17" s="28" t="s">
        <v>93</v>
      </c>
      <c r="D17" s="37">
        <v>918</v>
      </c>
      <c r="E17" s="38">
        <f>IF(tblSubMeters[[#This Row],[Month]]="","",N(tblSubMeters[[#This Row],[Volume]])*M3PerUnit)</f>
        <v>918</v>
      </c>
      <c r="F17" s="41">
        <f>IF(tblSubMeters[[#This Row],[Month]]="","",IFERROR(tblSubMeters[[#This Row],[Volume (m3)]]/INDEX(tblWater[Intake (m3)],MATCH(tblSubMeters[[#This Row],[Month]],tblWater[Month],0)),""))</f>
        <v>0.0877545167765988</v>
      </c>
      <c r="G17"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17" s="28" t="s">
        <v>87</v>
      </c>
    </row>
    <row r="18" spans="2:8">
      <c r="B18" s="36">
        <v>45962</v>
      </c>
      <c r="C18" s="28" t="s">
        <v>95</v>
      </c>
      <c r="D18" s="37">
        <v>519</v>
      </c>
      <c r="E18" s="38">
        <f>IF(tblSubMeters[[#This Row],[Month]]="","",N(tblSubMeters[[#This Row],[Volume]])*M3PerUnit)</f>
        <v>519</v>
      </c>
      <c r="F18" s="41">
        <f>IF(tblSubMeters[[#This Row],[Month]]="","",IFERROR(tblSubMeters[[#This Row],[Volume (m3)]]/INDEX(tblWater[Intake (m3)],MATCH(tblSubMeters[[#This Row],[Month]],tblWater[Month],0)),""))</f>
        <v>0.0496128477201032</v>
      </c>
      <c r="G18"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18" s="28" t="s">
        <v>87</v>
      </c>
    </row>
    <row r="19" spans="2:8">
      <c r="B19" s="36">
        <v>45992</v>
      </c>
      <c r="C19" s="28" t="s">
        <v>82</v>
      </c>
      <c r="D19" s="37">
        <v>3924</v>
      </c>
      <c r="E19" s="38">
        <f>IF(tblSubMeters[[#This Row],[Month]]="","",N(tblSubMeters[[#This Row],[Volume]])*M3PerUnit)</f>
        <v>3924</v>
      </c>
      <c r="F19" s="41">
        <f>IF(tblSubMeters[[#This Row],[Month]]="","",IFERROR(tblSubMeters[[#This Row],[Volume (m3)]]/INDEX(tblWater[Intake (m3)],MATCH(tblSubMeters[[#This Row],[Month]],tblWater[Month],0)),""))</f>
        <v>0.382605304212169</v>
      </c>
      <c r="G19"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19" s="28" t="s">
        <v>87</v>
      </c>
    </row>
    <row r="20" spans="2:8">
      <c r="B20" s="36">
        <v>45992</v>
      </c>
      <c r="C20" s="28" t="s">
        <v>85</v>
      </c>
      <c r="D20" s="37">
        <v>1241</v>
      </c>
      <c r="E20" s="38">
        <f>IF(tblSubMeters[[#This Row],[Month]]="","",N(tblSubMeters[[#This Row],[Volume]])*M3PerUnit)</f>
        <v>1241</v>
      </c>
      <c r="F20" s="41">
        <f>IF(tblSubMeters[[#This Row],[Month]]="","",IFERROR(tblSubMeters[[#This Row],[Volume (m3)]]/INDEX(tblWater[Intake (m3)],MATCH(tblSubMeters[[#This Row],[Month]],tblWater[Month],0)),""))</f>
        <v>0.121002340093604</v>
      </c>
      <c r="G20"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20" s="28" t="s">
        <v>87</v>
      </c>
    </row>
    <row r="21" spans="2:8">
      <c r="B21" s="36">
        <v>45992</v>
      </c>
      <c r="C21" s="28" t="s">
        <v>88</v>
      </c>
      <c r="D21" s="37">
        <v>2364</v>
      </c>
      <c r="E21" s="38">
        <f>IF(tblSubMeters[[#This Row],[Month]]="","",N(tblSubMeters[[#This Row],[Volume]])*M3PerUnit)</f>
        <v>2364</v>
      </c>
      <c r="F21" s="41">
        <f>IF(tblSubMeters[[#This Row],[Month]]="","",IFERROR(tblSubMeters[[#This Row],[Volume (m3)]]/INDEX(tblWater[Intake (m3)],MATCH(tblSubMeters[[#This Row],[Month]],tblWater[Month],0)),""))</f>
        <v>0.230499219968799</v>
      </c>
      <c r="G21"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21" s="28" t="s">
        <v>87</v>
      </c>
    </row>
    <row r="22" spans="2:8">
      <c r="B22" s="36">
        <v>45992</v>
      </c>
      <c r="C22" s="28" t="s">
        <v>91</v>
      </c>
      <c r="D22" s="37">
        <v>596</v>
      </c>
      <c r="E22" s="38">
        <f>IF(tblSubMeters[[#This Row],[Month]]="","",N(tblSubMeters[[#This Row],[Volume]])*M3PerUnit)</f>
        <v>596</v>
      </c>
      <c r="F22" s="41">
        <f>IF(tblSubMeters[[#This Row],[Month]]="","",IFERROR(tblSubMeters[[#This Row],[Volume (m3)]]/INDEX(tblWater[Intake (m3)],MATCH(tblSubMeters[[#This Row],[Month]],tblWater[Month],0)),""))</f>
        <v>0.0581123244929797</v>
      </c>
      <c r="G22"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22" s="28" t="s">
        <v>87</v>
      </c>
    </row>
    <row r="23" spans="2:8">
      <c r="B23" s="36">
        <v>45992</v>
      </c>
      <c r="C23" s="28" t="s">
        <v>93</v>
      </c>
      <c r="D23" s="37">
        <v>910</v>
      </c>
      <c r="E23" s="38">
        <f>IF(tblSubMeters[[#This Row],[Month]]="","",N(tblSubMeters[[#This Row],[Volume]])*M3PerUnit)</f>
        <v>910</v>
      </c>
      <c r="F23" s="41">
        <f>IF(tblSubMeters[[#This Row],[Month]]="","",IFERROR(tblSubMeters[[#This Row],[Volume (m3)]]/INDEX(tblWater[Intake (m3)],MATCH(tblSubMeters[[#This Row],[Month]],tblWater[Month],0)),""))</f>
        <v>0.0887285491419657</v>
      </c>
      <c r="G23"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23" s="28" t="s">
        <v>87</v>
      </c>
    </row>
    <row r="24" spans="2:8">
      <c r="B24" s="36">
        <v>45992</v>
      </c>
      <c r="C24" s="28" t="s">
        <v>95</v>
      </c>
      <c r="D24" s="37">
        <v>503</v>
      </c>
      <c r="E24" s="38">
        <f>IF(tblSubMeters[[#This Row],[Month]]="","",N(tblSubMeters[[#This Row],[Volume]])*M3PerUnit)</f>
        <v>503</v>
      </c>
      <c r="F24" s="41">
        <f>IF(tblSubMeters[[#This Row],[Month]]="","",IFERROR(tblSubMeters[[#This Row],[Volume (m3)]]/INDEX(tblWater[Intake (m3)],MATCH(tblSubMeters[[#This Row],[Month]],tblWater[Month],0)),""))</f>
        <v>0.0490444617784711</v>
      </c>
      <c r="G24"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24" s="28" t="s">
        <v>87</v>
      </c>
    </row>
    <row r="25" spans="2:8">
      <c r="B25" s="36">
        <v>46023</v>
      </c>
      <c r="C25" s="28" t="s">
        <v>82</v>
      </c>
      <c r="D25" s="37">
        <v>3938</v>
      </c>
      <c r="E25" s="38">
        <f>IF(tblSubMeters[[#This Row],[Month]]="","",N(tblSubMeters[[#This Row],[Volume]])*M3PerUnit)</f>
        <v>3938</v>
      </c>
      <c r="F25" s="41">
        <f>IF(tblSubMeters[[#This Row],[Month]]="","",IFERROR(tblSubMeters[[#This Row],[Volume (m3)]]/INDEX(tblWater[Intake (m3)],MATCH(tblSubMeters[[#This Row],[Month]],tblWater[Month],0)),""))</f>
        <v>0.383858075835851</v>
      </c>
      <c r="G25"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25" s="28" t="s">
        <v>87</v>
      </c>
    </row>
    <row r="26" spans="2:8">
      <c r="B26" s="36">
        <v>46023</v>
      </c>
      <c r="C26" s="28" t="s">
        <v>85</v>
      </c>
      <c r="D26" s="37">
        <v>1276</v>
      </c>
      <c r="E26" s="38">
        <f>IF(tblSubMeters[[#This Row],[Month]]="","",N(tblSubMeters[[#This Row],[Volume]])*M3PerUnit)</f>
        <v>1276</v>
      </c>
      <c r="F26" s="41">
        <f>IF(tblSubMeters[[#This Row],[Month]]="","",IFERROR(tblSubMeters[[#This Row],[Volume (m3)]]/INDEX(tblWater[Intake (m3)],MATCH(tblSubMeters[[#This Row],[Month]],tblWater[Month],0)),""))</f>
        <v>0.124378594404913</v>
      </c>
      <c r="G26"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26" s="28" t="s">
        <v>87</v>
      </c>
    </row>
    <row r="27" spans="2:8">
      <c r="B27" s="36">
        <v>46023</v>
      </c>
      <c r="C27" s="28" t="s">
        <v>88</v>
      </c>
      <c r="D27" s="37">
        <v>2293</v>
      </c>
      <c r="E27" s="38">
        <f>IF(tblSubMeters[[#This Row],[Month]]="","",N(tblSubMeters[[#This Row],[Volume]])*M3PerUnit)</f>
        <v>2293</v>
      </c>
      <c r="F27" s="41">
        <f>IF(tblSubMeters[[#This Row],[Month]]="","",IFERROR(tblSubMeters[[#This Row],[Volume (m3)]]/INDEX(tblWater[Intake (m3)],MATCH(tblSubMeters[[#This Row],[Month]],tblWater[Month],0)),""))</f>
        <v>0.223511063456477</v>
      </c>
      <c r="G27"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27" s="28" t="s">
        <v>87</v>
      </c>
    </row>
    <row r="28" spans="2:8">
      <c r="B28" s="36">
        <v>46023</v>
      </c>
      <c r="C28" s="28" t="s">
        <v>91</v>
      </c>
      <c r="D28" s="37">
        <v>598</v>
      </c>
      <c r="E28" s="38">
        <f>IF(tblSubMeters[[#This Row],[Month]]="","",N(tblSubMeters[[#This Row],[Volume]])*M3PerUnit)</f>
        <v>598</v>
      </c>
      <c r="F28" s="41">
        <f>IF(tblSubMeters[[#This Row],[Month]]="","",IFERROR(tblSubMeters[[#This Row],[Volume (m3)]]/INDEX(tblWater[Intake (m3)],MATCH(tblSubMeters[[#This Row],[Month]],tblWater[Month],0)),""))</f>
        <v>0.0582902817038698</v>
      </c>
      <c r="G28"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28" s="28" t="s">
        <v>87</v>
      </c>
    </row>
    <row r="29" spans="2:8">
      <c r="B29" s="36">
        <v>46023</v>
      </c>
      <c r="C29" s="28" t="s">
        <v>93</v>
      </c>
      <c r="D29" s="37">
        <v>936</v>
      </c>
      <c r="E29" s="38">
        <f>IF(tblSubMeters[[#This Row],[Month]]="","",N(tblSubMeters[[#This Row],[Volume]])*M3PerUnit)</f>
        <v>936</v>
      </c>
      <c r="F29" s="41">
        <f>IF(tblSubMeters[[#This Row],[Month]]="","",IFERROR(tblSubMeters[[#This Row],[Volume (m3)]]/INDEX(tblWater[Intake (m3)],MATCH(tblSubMeters[[#This Row],[Month]],tblWater[Month],0)),""))</f>
        <v>0.0912369626669266</v>
      </c>
      <c r="G29"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29" s="28" t="s">
        <v>87</v>
      </c>
    </row>
    <row r="30" spans="2:8">
      <c r="B30" s="36">
        <v>46023</v>
      </c>
      <c r="C30" s="28" t="s">
        <v>95</v>
      </c>
      <c r="D30" s="37">
        <v>500</v>
      </c>
      <c r="E30" s="38">
        <f>IF(tblSubMeters[[#This Row],[Month]]="","",N(tblSubMeters[[#This Row],[Volume]])*M3PerUnit)</f>
        <v>500</v>
      </c>
      <c r="F30" s="41">
        <f>IF(tblSubMeters[[#This Row],[Month]]="","",IFERROR(tblSubMeters[[#This Row],[Volume (m3)]]/INDEX(tblWater[Intake (m3)],MATCH(tblSubMeters[[#This Row],[Month]],tblWater[Month],0)),""))</f>
        <v>0.0487376937323326</v>
      </c>
      <c r="G30"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30" s="28" t="s">
        <v>87</v>
      </c>
    </row>
    <row r="31" spans="2:8">
      <c r="B31" s="36">
        <v>46054</v>
      </c>
      <c r="C31" s="28" t="s">
        <v>82</v>
      </c>
      <c r="D31" s="37">
        <v>4090</v>
      </c>
      <c r="E31" s="38">
        <f>IF(tblSubMeters[[#This Row],[Month]]="","",N(tblSubMeters[[#This Row],[Volume]])*M3PerUnit)</f>
        <v>4090</v>
      </c>
      <c r="F31" s="41">
        <f>IF(tblSubMeters[[#This Row],[Month]]="","",IFERROR(tblSubMeters[[#This Row],[Volume (m3)]]/INDEX(tblWater[Intake (m3)],MATCH(tblSubMeters[[#This Row],[Month]],tblWater[Month],0)),""))</f>
        <v>0.387971921836464</v>
      </c>
      <c r="G31"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31" s="28" t="s">
        <v>87</v>
      </c>
    </row>
    <row r="32" spans="2:8">
      <c r="B32" s="36">
        <v>46054</v>
      </c>
      <c r="C32" s="28" t="s">
        <v>85</v>
      </c>
      <c r="D32" s="37">
        <v>1286</v>
      </c>
      <c r="E32" s="38">
        <f>IF(tblSubMeters[[#This Row],[Month]]="","",N(tblSubMeters[[#This Row],[Volume]])*M3PerUnit)</f>
        <v>1286</v>
      </c>
      <c r="F32" s="41">
        <f>IF(tblSubMeters[[#This Row],[Month]]="","",IFERROR(tblSubMeters[[#This Row],[Volume (m3)]]/INDEX(tblWater[Intake (m3)],MATCH(tblSubMeters[[#This Row],[Month]],tblWater[Month],0)),""))</f>
        <v>0.121988237526086</v>
      </c>
      <c r="G32"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32" s="28" t="s">
        <v>87</v>
      </c>
    </row>
    <row r="33" spans="2:8">
      <c r="B33" s="36">
        <v>46054</v>
      </c>
      <c r="C33" s="28" t="s">
        <v>88</v>
      </c>
      <c r="D33" s="37">
        <v>2340</v>
      </c>
      <c r="E33" s="38">
        <f>IF(tblSubMeters[[#This Row],[Month]]="","",N(tblSubMeters[[#This Row],[Volume]])*M3PerUnit)</f>
        <v>2340</v>
      </c>
      <c r="F33" s="41">
        <f>IF(tblSubMeters[[#This Row],[Month]]="","",IFERROR(tblSubMeters[[#This Row],[Volume (m3)]]/INDEX(tblWater[Intake (m3)],MATCH(tblSubMeters[[#This Row],[Month]],tblWater[Month],0)),""))</f>
        <v>0.221969265793967</v>
      </c>
      <c r="G33"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33" s="28" t="s">
        <v>87</v>
      </c>
    </row>
    <row r="34" spans="2:8">
      <c r="B34" s="36">
        <v>46054</v>
      </c>
      <c r="C34" s="28" t="s">
        <v>91</v>
      </c>
      <c r="D34" s="37">
        <v>610</v>
      </c>
      <c r="E34" s="38">
        <f>IF(tblSubMeters[[#This Row],[Month]]="","",N(tblSubMeters[[#This Row],[Volume]])*M3PerUnit)</f>
        <v>610</v>
      </c>
      <c r="F34" s="41">
        <f>IF(tblSubMeters[[#This Row],[Month]]="","",IFERROR(tblSubMeters[[#This Row],[Volume (m3)]]/INDEX(tblWater[Intake (m3)],MATCH(tblSubMeters[[#This Row],[Month]],tblWater[Month],0)),""))</f>
        <v>0.0578637829633846</v>
      </c>
      <c r="G34"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34" s="28" t="s">
        <v>87</v>
      </c>
    </row>
    <row r="35" spans="2:8">
      <c r="B35" s="36">
        <v>46054</v>
      </c>
      <c r="C35" s="28" t="s">
        <v>93</v>
      </c>
      <c r="D35" s="37">
        <v>962</v>
      </c>
      <c r="E35" s="38">
        <f>IF(tblSubMeters[[#This Row],[Month]]="","",N(tblSubMeters[[#This Row],[Volume]])*M3PerUnit)</f>
        <v>962</v>
      </c>
      <c r="F35" s="41">
        <f>IF(tblSubMeters[[#This Row],[Month]]="","",IFERROR(tblSubMeters[[#This Row],[Volume (m3)]]/INDEX(tblWater[Intake (m3)],MATCH(tblSubMeters[[#This Row],[Month]],tblWater[Month],0)),""))</f>
        <v>0.0912540314930753</v>
      </c>
      <c r="G35"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35" s="28" t="s">
        <v>87</v>
      </c>
    </row>
    <row r="36" spans="2:8">
      <c r="B36" s="36">
        <v>46054</v>
      </c>
      <c r="C36" s="28" t="s">
        <v>95</v>
      </c>
      <c r="D36" s="37">
        <v>516</v>
      </c>
      <c r="E36" s="38">
        <f>IF(tblSubMeters[[#This Row],[Month]]="","",N(tblSubMeters[[#This Row],[Volume]])*M3PerUnit)</f>
        <v>516</v>
      </c>
      <c r="F36" s="41">
        <f>IF(tblSubMeters[[#This Row],[Month]]="","",IFERROR(tblSubMeters[[#This Row],[Volume (m3)]]/INDEX(tblWater[Intake (m3)],MATCH(tblSubMeters[[#This Row],[Month]],tblWater[Month],0)),""))</f>
        <v>0.0489470688673876</v>
      </c>
      <c r="G36"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36" s="28" t="s">
        <v>87</v>
      </c>
    </row>
    <row r="37" spans="2:8">
      <c r="B37" s="36">
        <v>46082</v>
      </c>
      <c r="C37" s="28" t="s">
        <v>82</v>
      </c>
      <c r="D37" s="37">
        <v>4033</v>
      </c>
      <c r="E37" s="38">
        <f>IF(tblSubMeters[[#This Row],[Month]]="","",N(tblSubMeters[[#This Row],[Volume]])*M3PerUnit)</f>
        <v>4033</v>
      </c>
      <c r="F37" s="41">
        <f>IF(tblSubMeters[[#This Row],[Month]]="","",IFERROR(tblSubMeters[[#This Row],[Volume (m3)]]/INDEX(tblWater[Intake (m3)],MATCH(tblSubMeters[[#This Row],[Month]],tblWater[Month],0)),""))</f>
        <v>0.415858939987626</v>
      </c>
      <c r="G37"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37" s="28" t="s">
        <v>87</v>
      </c>
    </row>
    <row r="38" spans="2:8">
      <c r="B38" s="36">
        <v>46082</v>
      </c>
      <c r="C38" s="28" t="s">
        <v>85</v>
      </c>
      <c r="D38" s="37">
        <v>1284</v>
      </c>
      <c r="E38" s="38">
        <f>IF(tblSubMeters[[#This Row],[Month]]="","",N(tblSubMeters[[#This Row],[Volume]])*M3PerUnit)</f>
        <v>1284</v>
      </c>
      <c r="F38" s="41">
        <f>IF(tblSubMeters[[#This Row],[Month]]="","",IFERROR(tblSubMeters[[#This Row],[Volume (m3)]]/INDEX(tblWater[Intake (m3)],MATCH(tblSubMeters[[#This Row],[Month]],tblWater[Month],0)),""))</f>
        <v>0.132398432666529</v>
      </c>
      <c r="G38"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38" s="28" t="s">
        <v>87</v>
      </c>
    </row>
    <row r="39" spans="2:8">
      <c r="B39" s="36">
        <v>46082</v>
      </c>
      <c r="C39" s="28" t="s">
        <v>88</v>
      </c>
      <c r="D39" s="37">
        <v>1680</v>
      </c>
      <c r="E39" s="38">
        <f>IF(tblSubMeters[[#This Row],[Month]]="","",N(tblSubMeters[[#This Row],[Volume]])*M3PerUnit)</f>
        <v>1680</v>
      </c>
      <c r="F39" s="41">
        <f>IF(tblSubMeters[[#This Row],[Month]]="","",IFERROR(tblSubMeters[[#This Row],[Volume (m3)]]/INDEX(tblWater[Intake (m3)],MATCH(tblSubMeters[[#This Row],[Month]],tblWater[Month],0)),""))</f>
        <v>0.173231594143122</v>
      </c>
      <c r="G39"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39" s="28" t="s">
        <v>87</v>
      </c>
    </row>
    <row r="40" spans="2:8">
      <c r="B40" s="36">
        <v>46082</v>
      </c>
      <c r="C40" s="28" t="s">
        <v>91</v>
      </c>
      <c r="D40" s="37">
        <v>584</v>
      </c>
      <c r="E40" s="38">
        <f>IF(tblSubMeters[[#This Row],[Month]]="","",N(tblSubMeters[[#This Row],[Volume]])*M3PerUnit)</f>
        <v>584</v>
      </c>
      <c r="F40" s="41">
        <f>IF(tblSubMeters[[#This Row],[Month]]="","",IFERROR(tblSubMeters[[#This Row],[Volume (m3)]]/INDEX(tblWater[Intake (m3)],MATCH(tblSubMeters[[#This Row],[Month]],tblWater[Month],0)),""))</f>
        <v>0.0602186017735616</v>
      </c>
      <c r="G40"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40" s="28" t="s">
        <v>87</v>
      </c>
    </row>
    <row r="41" spans="2:8">
      <c r="B41" s="36">
        <v>46082</v>
      </c>
      <c r="C41" s="28" t="s">
        <v>93</v>
      </c>
      <c r="D41" s="37">
        <v>944</v>
      </c>
      <c r="E41" s="38">
        <f>IF(tblSubMeters[[#This Row],[Month]]="","",N(tblSubMeters[[#This Row],[Volume]])*M3PerUnit)</f>
        <v>944</v>
      </c>
      <c r="F41" s="41">
        <f>IF(tblSubMeters[[#This Row],[Month]]="","",IFERROR(tblSubMeters[[#This Row],[Volume (m3)]]/INDEX(tblWater[Intake (m3)],MATCH(tblSubMeters[[#This Row],[Month]],tblWater[Month],0)),""))</f>
        <v>0.0973396576613735</v>
      </c>
      <c r="G41"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41" s="28" t="s">
        <v>87</v>
      </c>
    </row>
    <row r="42" spans="2:8">
      <c r="B42" s="36">
        <v>46082</v>
      </c>
      <c r="C42" s="28" t="s">
        <v>95</v>
      </c>
      <c r="D42" s="37">
        <v>494</v>
      </c>
      <c r="E42" s="38">
        <f>IF(tblSubMeters[[#This Row],[Month]]="","",N(tblSubMeters[[#This Row],[Volume]])*M3PerUnit)</f>
        <v>494</v>
      </c>
      <c r="F42" s="41">
        <f>IF(tblSubMeters[[#This Row],[Month]]="","",IFERROR(tblSubMeters[[#This Row],[Volume (m3)]]/INDEX(tblWater[Intake (m3)],MATCH(tblSubMeters[[#This Row],[Month]],tblWater[Month],0)),""))</f>
        <v>0.0509383378016086</v>
      </c>
      <c r="G42"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42" s="28" t="s">
        <v>87</v>
      </c>
    </row>
    <row r="43" spans="2:8">
      <c r="B43" s="36">
        <v>46113</v>
      </c>
      <c r="C43" s="28" t="s">
        <v>82</v>
      </c>
      <c r="D43" s="37">
        <v>4179</v>
      </c>
      <c r="E43" s="38">
        <f>IF(tblSubMeters[[#This Row],[Month]]="","",N(tblSubMeters[[#This Row],[Volume]])*M3PerUnit)</f>
        <v>4179</v>
      </c>
      <c r="F43" s="41">
        <f>IF(tblSubMeters[[#This Row],[Month]]="","",IFERROR(tblSubMeters[[#This Row],[Volume (m3)]]/INDEX(tblWater[Intake (m3)],MATCH(tblSubMeters[[#This Row],[Month]],tblWater[Month],0)),""))</f>
        <v>0.420295685406819</v>
      </c>
      <c r="G43"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43" s="28" t="s">
        <v>87</v>
      </c>
    </row>
    <row r="44" spans="2:8">
      <c r="B44" s="36">
        <v>46113</v>
      </c>
      <c r="C44" s="28" t="s">
        <v>85</v>
      </c>
      <c r="D44" s="37">
        <v>1261</v>
      </c>
      <c r="E44" s="38">
        <f>IF(tblSubMeters[[#This Row],[Month]]="","",N(tblSubMeters[[#This Row],[Volume]])*M3PerUnit)</f>
        <v>1261</v>
      </c>
      <c r="F44" s="41">
        <f>IF(tblSubMeters[[#This Row],[Month]]="","",IFERROR(tblSubMeters[[#This Row],[Volume (m3)]]/INDEX(tblWater[Intake (m3)],MATCH(tblSubMeters[[#This Row],[Month]],tblWater[Month],0)),""))</f>
        <v>0.126822890475712</v>
      </c>
      <c r="G44"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44" s="28" t="s">
        <v>87</v>
      </c>
    </row>
    <row r="45" spans="2:8">
      <c r="B45" s="36">
        <v>46113</v>
      </c>
      <c r="C45" s="28" t="s">
        <v>88</v>
      </c>
      <c r="D45" s="37">
        <v>1767</v>
      </c>
      <c r="E45" s="38">
        <f>IF(tblSubMeters[[#This Row],[Month]]="","",N(tblSubMeters[[#This Row],[Volume]])*M3PerUnit)</f>
        <v>1767</v>
      </c>
      <c r="F45" s="41">
        <f>IF(tblSubMeters[[#This Row],[Month]]="","",IFERROR(tblSubMeters[[#This Row],[Volume (m3)]]/INDEX(tblWater[Intake (m3)],MATCH(tblSubMeters[[#This Row],[Month]],tblWater[Month],0)),""))</f>
        <v>0.177712963894197</v>
      </c>
      <c r="G45"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45" s="28" t="s">
        <v>87</v>
      </c>
    </row>
    <row r="46" spans="2:8">
      <c r="B46" s="36">
        <v>46113</v>
      </c>
      <c r="C46" s="28" t="s">
        <v>91</v>
      </c>
      <c r="D46" s="37">
        <v>585</v>
      </c>
      <c r="E46" s="38">
        <f>IF(tblSubMeters[[#This Row],[Month]]="","",N(tblSubMeters[[#This Row],[Volume]])*M3PerUnit)</f>
        <v>585</v>
      </c>
      <c r="F46" s="41">
        <f>IF(tblSubMeters[[#This Row],[Month]]="","",IFERROR(tblSubMeters[[#This Row],[Volume (m3)]]/INDEX(tblWater[Intake (m3)],MATCH(tblSubMeters[[#This Row],[Month]],tblWater[Month],0)),""))</f>
        <v>0.0588353615608971</v>
      </c>
      <c r="G46"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46" s="28" t="s">
        <v>87</v>
      </c>
    </row>
    <row r="47" spans="2:8">
      <c r="B47" s="36">
        <v>46113</v>
      </c>
      <c r="C47" s="28" t="s">
        <v>93</v>
      </c>
      <c r="D47" s="37">
        <v>936</v>
      </c>
      <c r="E47" s="38">
        <f>IF(tblSubMeters[[#This Row],[Month]]="","",N(tblSubMeters[[#This Row],[Volume]])*M3PerUnit)</f>
        <v>936</v>
      </c>
      <c r="F47" s="41">
        <f>IF(tblSubMeters[[#This Row],[Month]]="","",IFERROR(tblSubMeters[[#This Row],[Volume (m3)]]/INDEX(tblWater[Intake (m3)],MATCH(tblSubMeters[[#This Row],[Month]],tblWater[Month],0)),""))</f>
        <v>0.0941365784974354</v>
      </c>
      <c r="G47"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47" s="28" t="s">
        <v>87</v>
      </c>
    </row>
    <row r="48" spans="2:8">
      <c r="B48" s="36">
        <v>46113</v>
      </c>
      <c r="C48" s="28" t="s">
        <v>95</v>
      </c>
      <c r="D48" s="37">
        <v>519</v>
      </c>
      <c r="E48" s="38">
        <f>IF(tblSubMeters[[#This Row],[Month]]="","",N(tblSubMeters[[#This Row],[Volume]])*M3PerUnit)</f>
        <v>519</v>
      </c>
      <c r="F48" s="41">
        <f>IF(tblSubMeters[[#This Row],[Month]]="","",IFERROR(tblSubMeters[[#This Row],[Volume (m3)]]/INDEX(tblWater[Intake (m3)],MATCH(tblSubMeters[[#This Row],[Month]],tblWater[Month],0)),""))</f>
        <v>0.0521975258976164</v>
      </c>
      <c r="G48"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48" s="28" t="s">
        <v>87</v>
      </c>
    </row>
    <row r="49" spans="2:8">
      <c r="B49" s="36">
        <v>46143</v>
      </c>
      <c r="C49" s="28" t="s">
        <v>82</v>
      </c>
      <c r="D49" s="37">
        <v>4367</v>
      </c>
      <c r="E49" s="38">
        <f>IF(tblSubMeters[[#This Row],[Month]]="","",N(tblSubMeters[[#This Row],[Volume]])*M3PerUnit)</f>
        <v>4367</v>
      </c>
      <c r="F49" s="41">
        <f>IF(tblSubMeters[[#This Row],[Month]]="","",IFERROR(tblSubMeters[[#This Row],[Volume (m3)]]/INDEX(tblWater[Intake (m3)],MATCH(tblSubMeters[[#This Row],[Month]],tblWater[Month],0)),""))</f>
        <v>0.413698370594922</v>
      </c>
      <c r="G49"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49" s="28" t="s">
        <v>87</v>
      </c>
    </row>
    <row r="50" spans="2:8">
      <c r="B50" s="36">
        <v>46143</v>
      </c>
      <c r="C50" s="28" t="s">
        <v>85</v>
      </c>
      <c r="D50" s="37">
        <v>1394</v>
      </c>
      <c r="E50" s="38">
        <f>IF(tblSubMeters[[#This Row],[Month]]="","",N(tblSubMeters[[#This Row],[Volume]])*M3PerUnit)</f>
        <v>1394</v>
      </c>
      <c r="F50" s="41">
        <f>IF(tblSubMeters[[#This Row],[Month]]="","",IFERROR(tblSubMeters[[#This Row],[Volume (m3)]]/INDEX(tblWater[Intake (m3)],MATCH(tblSubMeters[[#This Row],[Month]],tblWater[Month],0)),""))</f>
        <v>0.132057597574839</v>
      </c>
      <c r="G50"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50" s="28" t="s">
        <v>87</v>
      </c>
    </row>
    <row r="51" spans="2:8">
      <c r="B51" s="36">
        <v>46143</v>
      </c>
      <c r="C51" s="28" t="s">
        <v>88</v>
      </c>
      <c r="D51" s="37">
        <v>1808</v>
      </c>
      <c r="E51" s="38">
        <f>IF(tblSubMeters[[#This Row],[Month]]="","",N(tblSubMeters[[#This Row],[Volume]])*M3PerUnit)</f>
        <v>1808</v>
      </c>
      <c r="F51" s="41">
        <f>IF(tblSubMeters[[#This Row],[Month]]="","",IFERROR(tblSubMeters[[#This Row],[Volume (m3)]]/INDEX(tblWater[Intake (m3)],MATCH(tblSubMeters[[#This Row],[Month]],tblWater[Month],0)),""))</f>
        <v>0.171276998863206</v>
      </c>
      <c r="G51"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51" s="28" t="s">
        <v>87</v>
      </c>
    </row>
    <row r="52" spans="2:8">
      <c r="B52" s="36">
        <v>46143</v>
      </c>
      <c r="C52" s="28" t="s">
        <v>91</v>
      </c>
      <c r="D52" s="37">
        <v>662</v>
      </c>
      <c r="E52" s="38">
        <f>IF(tblSubMeters[[#This Row],[Month]]="","",N(tblSubMeters[[#This Row],[Volume]])*M3PerUnit)</f>
        <v>662</v>
      </c>
      <c r="F52" s="41">
        <f>IF(tblSubMeters[[#This Row],[Month]]="","",IFERROR(tblSubMeters[[#This Row],[Volume (m3)]]/INDEX(tblWater[Intake (m3)],MATCH(tblSubMeters[[#This Row],[Month]],tblWater[Month],0)),""))</f>
        <v>0.0627131489200455</v>
      </c>
      <c r="G52"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52" s="28" t="s">
        <v>87</v>
      </c>
    </row>
    <row r="53" spans="2:8">
      <c r="B53" s="36">
        <v>46143</v>
      </c>
      <c r="C53" s="28" t="s">
        <v>93</v>
      </c>
      <c r="D53" s="37">
        <v>1032</v>
      </c>
      <c r="E53" s="38">
        <f>IF(tblSubMeters[[#This Row],[Month]]="","",N(tblSubMeters[[#This Row],[Volume]])*M3PerUnit)</f>
        <v>1032</v>
      </c>
      <c r="F53" s="41">
        <f>IF(tblSubMeters[[#This Row],[Month]]="","",IFERROR(tblSubMeters[[#This Row],[Volume (m3)]]/INDEX(tblWater[Intake (m3)],MATCH(tblSubMeters[[#This Row],[Month]],tblWater[Month],0)),""))</f>
        <v>0.0977643046608564</v>
      </c>
      <c r="G53"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53" s="28" t="s">
        <v>87</v>
      </c>
    </row>
    <row r="54" spans="2:8">
      <c r="B54" s="36">
        <v>46143</v>
      </c>
      <c r="C54" s="28" t="s">
        <v>95</v>
      </c>
      <c r="D54" s="37">
        <v>554</v>
      </c>
      <c r="E54" s="38">
        <f>IF(tblSubMeters[[#This Row],[Month]]="","",N(tblSubMeters[[#This Row],[Volume]])*M3PerUnit)</f>
        <v>554</v>
      </c>
      <c r="F54" s="41">
        <f>IF(tblSubMeters[[#This Row],[Month]]="","",IFERROR(tblSubMeters[[#This Row],[Volume (m3)]]/INDEX(tblWater[Intake (m3)],MATCH(tblSubMeters[[#This Row],[Month]],tblWater[Month],0)),""))</f>
        <v>0.0524820007578628</v>
      </c>
      <c r="G54"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54" s="28" t="s">
        <v>87</v>
      </c>
    </row>
    <row r="55" spans="2:8">
      <c r="B55" s="36">
        <v>46174</v>
      </c>
      <c r="C55" s="28" t="s">
        <v>82</v>
      </c>
      <c r="D55" s="37">
        <v>4961</v>
      </c>
      <c r="E55" s="38">
        <f>IF(tblSubMeters[[#This Row],[Month]]="","",N(tblSubMeters[[#This Row],[Volume]])*M3PerUnit)</f>
        <v>4961</v>
      </c>
      <c r="F55" s="41">
        <f>IF(tblSubMeters[[#This Row],[Month]]="","",IFERROR(tblSubMeters[[#This Row],[Volume (m3)]]/INDEX(tblWater[Intake (m3)],MATCH(tblSubMeters[[#This Row],[Month]],tblWater[Month],0)),""))</f>
        <v>0.35557626146789</v>
      </c>
      <c r="G55"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55" s="28" t="s">
        <v>87</v>
      </c>
    </row>
    <row r="56" spans="2:8">
      <c r="B56" s="36">
        <v>46174</v>
      </c>
      <c r="C56" s="28" t="s">
        <v>85</v>
      </c>
      <c r="D56" s="37">
        <v>1519</v>
      </c>
      <c r="E56" s="38">
        <f>IF(tblSubMeters[[#This Row],[Month]]="","",N(tblSubMeters[[#This Row],[Volume]])*M3PerUnit)</f>
        <v>1519</v>
      </c>
      <c r="F56" s="41">
        <f>IF(tblSubMeters[[#This Row],[Month]]="","",IFERROR(tblSubMeters[[#This Row],[Volume (m3)]]/INDEX(tblWater[Intake (m3)],MATCH(tblSubMeters[[#This Row],[Month]],tblWater[Month],0)),""))</f>
        <v>0.108873279816514</v>
      </c>
      <c r="G56"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56" s="28" t="s">
        <v>87</v>
      </c>
    </row>
    <row r="57" spans="2:8">
      <c r="B57" s="36">
        <v>46174</v>
      </c>
      <c r="C57" s="28" t="s">
        <v>88</v>
      </c>
      <c r="D57" s="37">
        <v>2076</v>
      </c>
      <c r="E57" s="38">
        <f>IF(tblSubMeters[[#This Row],[Month]]="","",N(tblSubMeters[[#This Row],[Volume]])*M3PerUnit)</f>
        <v>2076</v>
      </c>
      <c r="F57" s="41">
        <f>IF(tblSubMeters[[#This Row],[Month]]="","",IFERROR(tblSubMeters[[#This Row],[Volume (m3)]]/INDEX(tblWater[Intake (m3)],MATCH(tblSubMeters[[#This Row],[Month]],tblWater[Month],0)),""))</f>
        <v>0.148795871559633</v>
      </c>
      <c r="G57"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57" s="28" t="s">
        <v>87</v>
      </c>
    </row>
    <row r="58" spans="2:8">
      <c r="B58" s="36">
        <v>46174</v>
      </c>
      <c r="C58" s="28" t="s">
        <v>91</v>
      </c>
      <c r="D58" s="37">
        <v>709</v>
      </c>
      <c r="E58" s="38">
        <f>IF(tblSubMeters[[#This Row],[Month]]="","",N(tblSubMeters[[#This Row],[Volume]])*M3PerUnit)</f>
        <v>709</v>
      </c>
      <c r="F58" s="41">
        <f>IF(tblSubMeters[[#This Row],[Month]]="","",IFERROR(tblSubMeters[[#This Row],[Volume (m3)]]/INDEX(tblWater[Intake (m3)],MATCH(tblSubMeters[[#This Row],[Month]],tblWater[Month],0)),""))</f>
        <v>0.0508170871559633</v>
      </c>
      <c r="G58"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58" s="28" t="s">
        <v>87</v>
      </c>
    </row>
    <row r="59" spans="2:8">
      <c r="B59" s="36">
        <v>46174</v>
      </c>
      <c r="C59" s="28" t="s">
        <v>93</v>
      </c>
      <c r="D59" s="37">
        <v>1844</v>
      </c>
      <c r="E59" s="38">
        <f>IF(tblSubMeters[[#This Row],[Month]]="","",N(tblSubMeters[[#This Row],[Volume]])*M3PerUnit)</f>
        <v>1844</v>
      </c>
      <c r="F59" s="41">
        <f>IF(tblSubMeters[[#This Row],[Month]]="","",IFERROR(tblSubMeters[[#This Row],[Volume (m3)]]/INDEX(tblWater[Intake (m3)],MATCH(tblSubMeters[[#This Row],[Month]],tblWater[Month],0)),""))</f>
        <v>0.132167431192661</v>
      </c>
      <c r="G59"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59" s="28" t="s">
        <v>87</v>
      </c>
    </row>
    <row r="60" spans="2:8">
      <c r="B60" s="36">
        <v>46174</v>
      </c>
      <c r="C60" s="28" t="s">
        <v>95</v>
      </c>
      <c r="D60" s="37">
        <v>611</v>
      </c>
      <c r="E60" s="38">
        <f>IF(tblSubMeters[[#This Row],[Month]]="","",N(tblSubMeters[[#This Row],[Volume]])*M3PerUnit)</f>
        <v>611</v>
      </c>
      <c r="F60" s="41">
        <f>IF(tblSubMeters[[#This Row],[Month]]="","",IFERROR(tblSubMeters[[#This Row],[Volume (m3)]]/INDEX(tblWater[Intake (m3)],MATCH(tblSubMeters[[#This Row],[Month]],tblWater[Month],0)),""))</f>
        <v>0.043793004587156</v>
      </c>
      <c r="G60"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60" s="28" t="s">
        <v>87</v>
      </c>
    </row>
    <row r="61" spans="2:8">
      <c r="B61" s="36">
        <v>46204</v>
      </c>
      <c r="C61" s="28" t="s">
        <v>82</v>
      </c>
      <c r="D61" s="37">
        <v>4919</v>
      </c>
      <c r="E61" s="38">
        <f>IF(tblSubMeters[[#This Row],[Month]]="","",N(tblSubMeters[[#This Row],[Volume]])*M3PerUnit)</f>
        <v>4919</v>
      </c>
      <c r="F61" s="41">
        <f>IF(tblSubMeters[[#This Row],[Month]]="","",IFERROR(tblSubMeters[[#This Row],[Volume (m3)]]/INDEX(tblWater[Intake (m3)],MATCH(tblSubMeters[[#This Row],[Month]],tblWater[Month],0)),""))</f>
        <v>0.385592223877087</v>
      </c>
      <c r="G61"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61" s="28" t="s">
        <v>87</v>
      </c>
    </row>
    <row r="62" spans="2:8">
      <c r="B62" s="36">
        <v>46204</v>
      </c>
      <c r="C62" s="28" t="s">
        <v>85</v>
      </c>
      <c r="D62" s="37">
        <v>1556</v>
      </c>
      <c r="E62" s="38">
        <f>IF(tblSubMeters[[#This Row],[Month]]="","",N(tblSubMeters[[#This Row],[Volume]])*M3PerUnit)</f>
        <v>1556</v>
      </c>
      <c r="F62" s="41">
        <f>IF(tblSubMeters[[#This Row],[Month]]="","",IFERROR(tblSubMeters[[#This Row],[Volume (m3)]]/INDEX(tblWater[Intake (m3)],MATCH(tblSubMeters[[#This Row],[Month]],tblWater[Month],0)),""))</f>
        <v>0.121972250529121</v>
      </c>
      <c r="G62"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62" s="28" t="s">
        <v>87</v>
      </c>
    </row>
    <row r="63" spans="2:8">
      <c r="B63" s="36">
        <v>46204</v>
      </c>
      <c r="C63" s="28" t="s">
        <v>88</v>
      </c>
      <c r="D63" s="37">
        <v>2116</v>
      </c>
      <c r="E63" s="38">
        <f>IF(tblSubMeters[[#This Row],[Month]]="","",N(tblSubMeters[[#This Row],[Volume]])*M3PerUnit)</f>
        <v>2116</v>
      </c>
      <c r="F63" s="41">
        <f>IF(tblSubMeters[[#This Row],[Month]]="","",IFERROR(tblSubMeters[[#This Row],[Volume (m3)]]/INDEX(tblWater[Intake (m3)],MATCH(tblSubMeters[[#This Row],[Month]],tblWater[Month],0)),""))</f>
        <v>0.165869718585874</v>
      </c>
      <c r="G63"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63" s="28" t="s">
        <v>87</v>
      </c>
    </row>
    <row r="64" spans="2:8">
      <c r="B64" s="36">
        <v>46204</v>
      </c>
      <c r="C64" s="28" t="s">
        <v>91</v>
      </c>
      <c r="D64" s="37">
        <v>716</v>
      </c>
      <c r="E64" s="38">
        <f>IF(tblSubMeters[[#This Row],[Month]]="","",N(tblSubMeters[[#This Row],[Volume]])*M3PerUnit)</f>
        <v>716</v>
      </c>
      <c r="F64" s="41">
        <f>IF(tblSubMeters[[#This Row],[Month]]="","",IFERROR(tblSubMeters[[#This Row],[Volume (m3)]]/INDEX(tblWater[Intake (m3)],MATCH(tblSubMeters[[#This Row],[Month]],tblWater[Month],0)),""))</f>
        <v>0.0561260484439915</v>
      </c>
      <c r="G64"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64" s="28" t="s">
        <v>87</v>
      </c>
    </row>
    <row r="65" spans="2:8">
      <c r="B65" s="36">
        <v>46204</v>
      </c>
      <c r="C65" s="28" t="s">
        <v>93</v>
      </c>
      <c r="D65" s="37">
        <v>1941</v>
      </c>
      <c r="E65" s="38">
        <f>IF(tblSubMeters[[#This Row],[Month]]="","",N(tblSubMeters[[#This Row],[Volume]])*M3PerUnit)</f>
        <v>1941</v>
      </c>
      <c r="F65" s="41">
        <f>IF(tblSubMeters[[#This Row],[Month]]="","",IFERROR(tblSubMeters[[#This Row],[Volume (m3)]]/INDEX(tblWater[Intake (m3)],MATCH(tblSubMeters[[#This Row],[Month]],tblWater[Month],0)),""))</f>
        <v>0.152151759818139</v>
      </c>
      <c r="G65"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65" s="28" t="s">
        <v>87</v>
      </c>
    </row>
    <row r="66" spans="2:8">
      <c r="B66" s="36">
        <v>46204</v>
      </c>
      <c r="C66" s="28" t="s">
        <v>95</v>
      </c>
      <c r="D66" s="37">
        <v>616</v>
      </c>
      <c r="E66" s="38">
        <f>IF(tblSubMeters[[#This Row],[Month]]="","",N(tblSubMeters[[#This Row],[Volume]])*M3PerUnit)</f>
        <v>616</v>
      </c>
      <c r="F66" s="41">
        <f>IF(tblSubMeters[[#This Row],[Month]]="","",IFERROR(tblSubMeters[[#This Row],[Volume (m3)]]/INDEX(tblWater[Intake (m3)],MATCH(tblSubMeters[[#This Row],[Month]],tblWater[Month],0)),""))</f>
        <v>0.0482872148624285</v>
      </c>
      <c r="G66"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66" s="28" t="s">
        <v>87</v>
      </c>
    </row>
    <row r="67" spans="2:8">
      <c r="B67" s="36">
        <v>46235</v>
      </c>
      <c r="C67" s="28" t="s">
        <v>82</v>
      </c>
      <c r="D67" s="37">
        <v>4760</v>
      </c>
      <c r="E67" s="38">
        <f>IF(tblSubMeters[[#This Row],[Month]]="","",N(tblSubMeters[[#This Row],[Volume]])*M3PerUnit)</f>
        <v>4760</v>
      </c>
      <c r="F67" s="41">
        <f>IF(tblSubMeters[[#This Row],[Month]]="","",IFERROR(tblSubMeters[[#This Row],[Volume (m3)]]/INDEX(tblWater[Intake (m3)],MATCH(tblSubMeters[[#This Row],[Month]],tblWater[Month],0)),""))</f>
        <v>0.382821296445231</v>
      </c>
      <c r="G67"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67" s="28" t="s">
        <v>87</v>
      </c>
    </row>
    <row r="68" spans="2:8">
      <c r="B68" s="36">
        <v>46235</v>
      </c>
      <c r="C68" s="28" t="s">
        <v>85</v>
      </c>
      <c r="D68" s="37">
        <v>1559</v>
      </c>
      <c r="E68" s="38">
        <f>IF(tblSubMeters[[#This Row],[Month]]="","",N(tblSubMeters[[#This Row],[Volume]])*M3PerUnit)</f>
        <v>1559</v>
      </c>
      <c r="F68" s="41">
        <f>IF(tblSubMeters[[#This Row],[Month]]="","",IFERROR(tblSubMeters[[#This Row],[Volume (m3)]]/INDEX(tblWater[Intake (m3)],MATCH(tblSubMeters[[#This Row],[Month]],tblWater[Month],0)),""))</f>
        <v>0.125382017050024</v>
      </c>
      <c r="G68"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68" s="28" t="s">
        <v>87</v>
      </c>
    </row>
    <row r="69" spans="2:8">
      <c r="B69" s="36">
        <v>46235</v>
      </c>
      <c r="C69" s="28" t="s">
        <v>88</v>
      </c>
      <c r="D69" s="37">
        <v>2028</v>
      </c>
      <c r="E69" s="38">
        <f>IF(tblSubMeters[[#This Row],[Month]]="","",N(tblSubMeters[[#This Row],[Volume]])*M3PerUnit)</f>
        <v>2028</v>
      </c>
      <c r="F69" s="41">
        <f>IF(tblSubMeters[[#This Row],[Month]]="","",IFERROR(tblSubMeters[[#This Row],[Volume (m3)]]/INDEX(tblWater[Intake (m3)],MATCH(tblSubMeters[[#This Row],[Month]],tblWater[Month],0)),""))</f>
        <v>0.163101174199775</v>
      </c>
      <c r="G69"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69" s="28" t="s">
        <v>87</v>
      </c>
    </row>
    <row r="70" spans="2:8">
      <c r="B70" s="36">
        <v>46235</v>
      </c>
      <c r="C70" s="28" t="s">
        <v>91</v>
      </c>
      <c r="D70" s="37">
        <v>722</v>
      </c>
      <c r="E70" s="38">
        <f>IF(tblSubMeters[[#This Row],[Month]]="","",N(tblSubMeters[[#This Row],[Volume]])*M3PerUnit)</f>
        <v>722</v>
      </c>
      <c r="F70" s="41">
        <f>IF(tblSubMeters[[#This Row],[Month]]="","",IFERROR(tblSubMeters[[#This Row],[Volume (m3)]]/INDEX(tblWater[Intake (m3)],MATCH(tblSubMeters[[#This Row],[Month]],tblWater[Month],0)),""))</f>
        <v>0.0580665916036674</v>
      </c>
      <c r="G70"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70" s="28" t="s">
        <v>87</v>
      </c>
    </row>
    <row r="71" spans="2:8">
      <c r="B71" s="36">
        <v>46235</v>
      </c>
      <c r="C71" s="28" t="s">
        <v>93</v>
      </c>
      <c r="D71" s="37">
        <v>1897</v>
      </c>
      <c r="E71" s="38">
        <f>IF(tblSubMeters[[#This Row],[Month]]="","",N(tblSubMeters[[#This Row],[Volume]])*M3PerUnit)</f>
        <v>1897</v>
      </c>
      <c r="F71" s="41">
        <f>IF(tblSubMeters[[#This Row],[Month]]="","",IFERROR(tblSubMeters[[#This Row],[Volume (m3)]]/INDEX(tblWater[Intake (m3)],MATCH(tblSubMeters[[#This Row],[Month]],tblWater[Month],0)),""))</f>
        <v>0.15256554608332</v>
      </c>
      <c r="G71"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71" s="28" t="s">
        <v>87</v>
      </c>
    </row>
    <row r="72" spans="2:8">
      <c r="B72" s="36">
        <v>46235</v>
      </c>
      <c r="C72" s="28" t="s">
        <v>95</v>
      </c>
      <c r="D72" s="37">
        <v>598</v>
      </c>
      <c r="E72" s="38">
        <f>IF(tblSubMeters[[#This Row],[Month]]="","",N(tblSubMeters[[#This Row],[Volume]])*M3PerUnit)</f>
        <v>598</v>
      </c>
      <c r="F72" s="41">
        <f>IF(tblSubMeters[[#This Row],[Month]]="","",IFERROR(tblSubMeters[[#This Row],[Volume (m3)]]/INDEX(tblWater[Intake (m3)],MATCH(tblSubMeters[[#This Row],[Month]],tblWater[Month],0)),""))</f>
        <v>0.0480939359819849</v>
      </c>
      <c r="G72"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72" s="28" t="s">
        <v>87</v>
      </c>
    </row>
    <row r="73" spans="2:8">
      <c r="B73" s="36">
        <v>46266</v>
      </c>
      <c r="C73" s="28" t="s">
        <v>82</v>
      </c>
      <c r="D73" s="37">
        <v>4224</v>
      </c>
      <c r="E73" s="38">
        <f>IF(tblSubMeters[[#This Row],[Month]]="","",N(tblSubMeters[[#This Row],[Volume]])*M3PerUnit)</f>
        <v>4224</v>
      </c>
      <c r="F73" s="41">
        <f>IF(tblSubMeters[[#This Row],[Month]]="","",IFERROR(tblSubMeters[[#This Row],[Volume (m3)]]/INDEX(tblWater[Intake (m3)],MATCH(tblSubMeters[[#This Row],[Month]],tblWater[Month],0)),""))</f>
        <v>0.412741840922416</v>
      </c>
      <c r="G73"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73" s="28" t="s">
        <v>87</v>
      </c>
    </row>
    <row r="74" spans="2:8">
      <c r="B74" s="36">
        <v>46266</v>
      </c>
      <c r="C74" s="28" t="s">
        <v>85</v>
      </c>
      <c r="D74" s="37">
        <v>1375</v>
      </c>
      <c r="E74" s="38">
        <f>IF(tblSubMeters[[#This Row],[Month]]="","",N(tblSubMeters[[#This Row],[Volume]])*M3PerUnit)</f>
        <v>1375</v>
      </c>
      <c r="F74" s="41">
        <f>IF(tblSubMeters[[#This Row],[Month]]="","",IFERROR(tblSubMeters[[#This Row],[Volume (m3)]]/INDEX(tblWater[Intake (m3)],MATCH(tblSubMeters[[#This Row],[Month]],tblWater[Month],0)),""))</f>
        <v>0.134356068008599</v>
      </c>
      <c r="G74"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74" s="28" t="s">
        <v>87</v>
      </c>
    </row>
    <row r="75" spans="2:8">
      <c r="B75" s="36">
        <v>46266</v>
      </c>
      <c r="C75" s="28" t="s">
        <v>88</v>
      </c>
      <c r="D75" s="37">
        <v>1761</v>
      </c>
      <c r="E75" s="38">
        <f>IF(tblSubMeters[[#This Row],[Month]]="","",N(tblSubMeters[[#This Row],[Volume]])*M3PerUnit)</f>
        <v>1761</v>
      </c>
      <c r="F75" s="41">
        <f>IF(tblSubMeters[[#This Row],[Month]]="","",IFERROR(tblSubMeters[[#This Row],[Volume (m3)]]/INDEX(tblWater[Intake (m3)],MATCH(tblSubMeters[[#This Row],[Month]],tblWater[Month],0)),""))</f>
        <v>0.172073480555013</v>
      </c>
      <c r="G75"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75" s="28" t="s">
        <v>87</v>
      </c>
    </row>
    <row r="76" spans="2:8">
      <c r="B76" s="36">
        <v>46266</v>
      </c>
      <c r="C76" s="28" t="s">
        <v>91</v>
      </c>
      <c r="D76" s="37">
        <v>626</v>
      </c>
      <c r="E76" s="38">
        <f>IF(tblSubMeters[[#This Row],[Month]]="","",N(tblSubMeters[[#This Row],[Volume]])*M3PerUnit)</f>
        <v>626</v>
      </c>
      <c r="F76" s="41">
        <f>IF(tblSubMeters[[#This Row],[Month]]="","",IFERROR(tblSubMeters[[#This Row],[Volume (m3)]]/INDEX(tblWater[Intake (m3)],MATCH(tblSubMeters[[#This Row],[Month]],tblWater[Month],0)),""))</f>
        <v>0.0611686535079148</v>
      </c>
      <c r="G76"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76" s="28" t="s">
        <v>87</v>
      </c>
    </row>
    <row r="77" spans="2:8">
      <c r="B77" s="36">
        <v>46266</v>
      </c>
      <c r="C77" s="28" t="s">
        <v>93</v>
      </c>
      <c r="D77" s="37">
        <v>1007</v>
      </c>
      <c r="E77" s="38">
        <f>IF(tblSubMeters[[#This Row],[Month]]="","",N(tblSubMeters[[#This Row],[Volume]])*M3PerUnit)</f>
        <v>1007</v>
      </c>
      <c r="F77" s="41">
        <f>IF(tblSubMeters[[#This Row],[Month]]="","",IFERROR(tblSubMeters[[#This Row],[Volume (m3)]]/INDEX(tblWater[Intake (m3)],MATCH(tblSubMeters[[#This Row],[Month]],tblWater[Month],0)),""))</f>
        <v>0.0983974985342974</v>
      </c>
      <c r="G77"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77" s="28" t="s">
        <v>87</v>
      </c>
    </row>
    <row r="78" spans="2:8">
      <c r="B78" s="36">
        <v>46266</v>
      </c>
      <c r="C78" s="28" t="s">
        <v>95</v>
      </c>
      <c r="D78" s="37">
        <v>525</v>
      </c>
      <c r="E78" s="38">
        <f>IF(tblSubMeters[[#This Row],[Month]]="","",N(tblSubMeters[[#This Row],[Volume]])*M3PerUnit)</f>
        <v>525</v>
      </c>
      <c r="F78" s="41">
        <f>IF(tblSubMeters[[#This Row],[Month]]="","",IFERROR(tblSubMeters[[#This Row],[Volume (m3)]]/INDEX(tblWater[Intake (m3)],MATCH(tblSubMeters[[#This Row],[Month]],tblWater[Month],0)),""))</f>
        <v>0.0512995896032832</v>
      </c>
      <c r="G78" s="43" t="str">
        <f>IF(tblSubMeters[[#This Row],[Month]]="","",IF(tblSubMeters[[#This Row],[Meter]]="","Missing meter",IF(tblSubMeters[[#This Row],[Volume]]="","Missing volume",IF(COUNTIFS(tblWater[Month],tblSubMeters[[#This Row],[Month]])=0,"No Monthly Water row",IF(COUNTIFS(tblSubMeters[Month],tblSubMeters[[#This Row],[Month]],tblSubMeters[Meter],tblSubMeters[[#This Row],[Meter]])&gt;1,"Duplicate month and meter",IF(COUNTIFS(tblMeters[Meter],tblSubMeters[[#This Row],[Meter]])=0,"Meter not on Setup list",IF(SUMIFS(tblSubMeters[Volume (m3)],tblSubMeters[Month],tblSubMeters[[#This Row],[Month]])&gt;SUMIFS(tblWater[Intake (m3)],tblWater[Month],tblSubMeters[[#This Row],[Month]]),"Meters add up to more than intake","OK")))))))</f>
        <v>OK</v>
      </c>
      <c r="H78" s="28" t="s">
        <v>87</v>
      </c>
    </row>
  </sheetData>
  <mergeCells count="3">
    <mergeCell ref="A1:H1"/>
    <mergeCell ref="B2:G2"/>
    <mergeCell ref="B4:H4"/>
  </mergeCells>
  <conditionalFormatting sqref="G7:G578">
    <cfRule type="expression" dxfId="3" priority="1">
      <formula>$G7="OK"</formula>
    </cfRule>
    <cfRule type="expression" dxfId="1" priority="2">
      <formula>AND($G7&lt;&gt;"",$G7&lt;&gt;"OK")</formula>
    </cfRule>
  </conditionalFormatting>
  <dataValidations count="4">
    <dataValidation type="date" allowBlank="1" showInputMessage="1" showErrorMessage="1" errorTitle="Check this entry" error="Enter a date between 01 Jan 2000 and 31 Dec 2100." promptTitle="Month" prompt="The first day of the month, matching the Monthly Water row. Enter a date between 01 Jan 2000 and 31 Dec 2100." sqref="B7:B578">
      <formula1>36526</formula1>
      <formula2>73415</formula2>
    </dataValidation>
    <dataValidation type="list" allowBlank="1" showInputMessage="1" showErrorMessage="1" errorTitle="Check this entry" error="Pick from the list (edit the list on Setup: Meters)." promptTitle="Meter" prompt="Pick from the list (edit the list on Setup: Meters)." sqref="C7:C578">
      <formula1>Meters</formula1>
    </dataValidation>
    <dataValidation type="decimal" allowBlank="1" showInputMessage="1" showErrorMessage="1" errorTitle="Check this entry" error="Enter a number of at least 0." promptTitle="Volume" prompt="Consumption on this meter in the month (end reading minus start reading), in the Setup volume unit. Enter a number of at least 0." sqref="D7:D578">
      <formula1>0</formula1>
      <formula2>1000000000000.0</formula2>
    </dataValidation>
    <dataValidation type="textLength" allowBlank="1" showInputMessage="1" showErrorMessage="1" errorTitle="Check this entry" error="Text up to 255 characters." promptTitle="Notes" prompt="Text up to 255 characters." sqref="H7:H578">
      <formula1>0</formula1>
      <formula2>255</formula2>
    </dataValidation>
  </dataValidations>
  <hyperlinks>
    <hyperlink ref="H2" r:id="rId1" tooltip="Free manufacturing calculators and templates"/>
  </hyperlinks>
  <pageMargins left="0.4" right="0.4" top="0.7" bottom="0.65" header="0.3" footer="0.3"/>
  <pageSetup fitToHeight="0" orientation="landscape"/>
  <headerFooter>
    <oddHeader>&amp;L&amp;8MFG Calcs - Water Use Tracker&amp;R&amp;8&amp;A</oddHeader>
    <oddFooter>&amp;L&amp;8mfgcalcs.com - free manufacturing templates&amp;R&amp;8Page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L79"/>
  <sheetViews>
    <sheetView showGridLines="0" zoomScale="90" zoomScaleNormal="90" workbookViewId="0"/>
  </sheetViews>
  <sheetFormatPr defaultRowHeight="15" x14ac:dyDescent="0.25"/>
  <cols>
    <col min="1" max="1" width="2.7109375" customWidth="1"/>
    <col min="2" max="2" width="20.7109375" customWidth="1"/>
    <col min="3" max="12" width="10.7109375" customWidth="1"/>
  </cols>
  <sheetData>
    <row r="1" spans="1:12" ht="30" customHeight="1" x14ac:dyDescent="0.25">
      <c r="A1" s="1" t="s">
        <v>0</v>
      </c>
      <c r="B1" s="1"/>
      <c r="C1" s="1"/>
      <c r="D1" s="1"/>
      <c r="E1" s="1"/>
      <c r="F1" s="1"/>
      <c r="G1" s="1"/>
      <c r="H1" s="1"/>
      <c r="I1" s="1"/>
      <c r="J1" s="1"/>
      <c r="K1" s="1"/>
      <c r="L1" s="1"/>
    </row>
    <row r="2" spans="1:12" ht="21" customHeight="1" x14ac:dyDescent="0.25">
      <c r="B2" s="2" t="s">
        <v>26</v>
      </c>
      <c r="C2" s="2"/>
      <c r="D2" s="2"/>
      <c r="E2" s="2"/>
      <c r="F2" s="2"/>
      <c r="G2" s="2"/>
      <c r="H2" s="2"/>
      <c r="I2" s="2"/>
      <c r="J2" s="2"/>
      <c r="K2" s="3" t="s">
        <v>2</v>
      </c>
      <c r="L2" s="3"/>
    </row>
    <row r="3" spans="1:12" ht="6" customHeight="1" x14ac:dyDescent="0.25"/>
    <row r="4" spans="1:12" x14ac:dyDescent="0.25">
      <c r="B4" s="27" t="s">
        <v>126</v>
      </c>
      <c r="C4" s="27"/>
      <c r="D4" s="45"/>
      <c r="E4" s="45"/>
      <c r="G4" s="27" t="s">
        <v>127</v>
      </c>
      <c r="H4" s="27"/>
      <c r="I4" s="38">
        <f>COUNTIFS(tblWater[Month],"&gt;="&amp;FStart,tblWater[Month],"&lt;="&amp;FEnd)</f>
        <v>12</v>
      </c>
      <c r="J4" s="38"/>
    </row>
    <row r="5" spans="1:12" x14ac:dyDescent="0.25">
      <c r="B5" s="27" t="s">
        <v>128</v>
      </c>
      <c r="C5" s="27"/>
      <c r="D5" s="46">
        <f>IF(FEnd=0,"",FStart)</f>
        <v>45931</v>
      </c>
      <c r="E5" s="46"/>
      <c r="G5" s="27" t="s">
        <v>129</v>
      </c>
      <c r="H5" s="27"/>
      <c r="I5" s="46">
        <f>IF(FEnd=0,"",FEnd)</f>
        <v>46266</v>
      </c>
      <c r="J5" s="46"/>
    </row>
    <row r="6" spans="1:12" x14ac:dyDescent="0.25">
      <c r="B6" s="47" t="str">
        <f>"Volumes in m3 (converted from "&amp;VolUnit&amp;"); money in "&amp;Currency&amp;"; output in "&amp;OutputUnit&amp;". Leave the date blank to see the latest 12 months."</f>
        <v>Volumes in m3 (converted from m3); money in EUR; output in kL product. Leave the date blank to see the latest 12 months.</v>
      </c>
      <c r="C6" s="47"/>
      <c r="D6" s="47"/>
      <c r="E6" s="47"/>
      <c r="F6" s="47"/>
      <c r="G6" s="47"/>
      <c r="H6" s="47"/>
      <c r="I6" s="47"/>
      <c r="J6" s="47"/>
      <c r="K6" s="47"/>
      <c r="L6" s="47"/>
    </row>
    <row r="8" spans="1:12" ht="18" customHeight="1" x14ac:dyDescent="0.25">
      <c r="B8" s="48" t="s">
        <v>130</v>
      </c>
      <c r="C8" s="48"/>
      <c r="D8" s="48" t="str">
        <f>"INTENSITY (M3/"&amp;UPPER(OutputUnit)&amp;")"</f>
        <v>INTENSITY (M3/KL PRODUCT)</v>
      </c>
      <c r="E8" s="48"/>
      <c r="F8" s="48"/>
      <c r="G8" s="48" t="str">
        <f>"WATER COST ("&amp;Currency&amp;")"</f>
        <v>WATER COST (EUR)</v>
      </c>
      <c r="H8" s="48"/>
      <c r="I8" s="48"/>
      <c r="J8" s="48" t="str">
        <f>"COST PER UNIT ("&amp;Currency&amp;")"</f>
        <v>COST PER UNIT (EUR)</v>
      </c>
      <c r="K8" s="48"/>
      <c r="L8" s="48"/>
    </row>
    <row r="9" spans="1:12" ht="21" customHeight="1" x14ac:dyDescent="0.25">
      <c r="B9" s="49">
        <f>SUMIFS(tblWater[Intake (m3)],tblWater[Month],"&gt;="&amp;FStart,tblWater[Month],"&lt;="&amp;FEnd)</f>
        <v>131626</v>
      </c>
      <c r="C9" s="49"/>
      <c r="D9" s="50">
        <f>IF((SUMIFS(tblWater[Production],tblWater[Month],"&gt;="&amp;FStart,tblWater[Month],"&lt;="&amp;FEnd))=0,"",(SUMIFS(tblWater[Intake (m3)],tblWater[Month],"&gt;="&amp;FStart,tblWater[Month],"&lt;="&amp;FEnd))/(SUMIFS(tblWater[Production],tblWater[Month],"&gt;="&amp;FStart,tblWater[Month],"&lt;="&amp;FEnd)))</f>
        <v>2.42146510173296</v>
      </c>
      <c r="E9" s="50"/>
      <c r="F9" s="50"/>
      <c r="G9" s="49">
        <f>SUMIFS(tblWater[Water cost],tblWater[Month],"&gt;="&amp;FStart,tblWater[Month],"&lt;="&amp;FEnd)</f>
        <v>298427.62</v>
      </c>
      <c r="H9" s="49"/>
      <c r="I9" s="49"/>
      <c r="J9" s="51">
        <f>IF((SUMIFS(tblWater[Production],tblWater[Month],"&gt;="&amp;FStart,tblWater[Month],"&lt;="&amp;FEnd))=0,"",(SUMIFS(tblWater[Water cost],tblWater[Month],"&gt;="&amp;FStart,tblWater[Month],"&lt;="&amp;FEnd))/(SUMIFS(tblWater[Production],tblWater[Month],"&gt;="&amp;FStart,tblWater[Month],"&lt;="&amp;FEnd)))</f>
        <v>5.49004047242356</v>
      </c>
      <c r="K9" s="51"/>
      <c r="L9" s="51"/>
    </row>
    <row r="10" spans="1:12" ht="21" customHeight="1" x14ac:dyDescent="0.25">
      <c r="B10" s="49"/>
      <c r="C10" s="49"/>
      <c r="D10" s="50"/>
      <c r="E10" s="50"/>
      <c r="F10" s="50"/>
      <c r="G10" s="49"/>
      <c r="H10" s="49"/>
      <c r="I10" s="49"/>
      <c r="J10" s="51"/>
      <c r="K10" s="51"/>
      <c r="L10" s="51"/>
    </row>
    <row r="11" spans="1:12" x14ac:dyDescent="0.25">
      <c r="B11" s="52" t="s">
        <v>131</v>
      </c>
      <c r="C11" s="52"/>
      <c r="D11" s="53">
        <f>TargetIntensity</f>
        <v>2.2</v>
      </c>
      <c r="E11" s="53"/>
      <c r="F11" s="53"/>
      <c r="G11" s="52" t="s">
        <v>132</v>
      </c>
      <c r="H11" s="52"/>
      <c r="I11" s="52"/>
      <c r="J11" s="52" t="s">
        <v>133</v>
      </c>
      <c r="K11" s="52"/>
      <c r="L11" s="52"/>
    </row>
    <row r="12" spans="1:12" ht="18" customHeight="1" x14ac:dyDescent="0.25">
      <c r="B12" s="54"/>
      <c r="C12" s="54"/>
      <c r="D12" s="54" t="str">
        <f>IF(NOT(ISNUMBER(KpiInt)),"No data",IF(KpiInt&lt;=(TargetIntensity),"On target",IF(KpiInt&lt;=(TargetIntensity)*(1+0.05),"Near target","Above target")))</f>
        <v>Above target</v>
      </c>
      <c r="E12" s="54"/>
      <c r="F12" s="54"/>
      <c r="G12" s="54"/>
      <c r="H12" s="54"/>
      <c r="I12" s="54"/>
      <c r="J12" s="54"/>
      <c r="K12" s="54"/>
      <c r="L12" s="54"/>
    </row>
    <row r="30" spans="2:12" ht="18" customHeight="1" x14ac:dyDescent="0.25">
      <c r="B30" s="48" t="s">
        <v>134</v>
      </c>
      <c r="C30" s="48"/>
      <c r="D30" s="48" t="s">
        <v>135</v>
      </c>
      <c r="E30" s="48"/>
      <c r="F30" s="48"/>
      <c r="G30" s="48" t="str">
        <f>"COST PER M3 ("&amp;Currency&amp;")"</f>
        <v>COST PER M3 (EUR)</v>
      </c>
      <c r="H30" s="48"/>
      <c r="I30" s="48"/>
      <c r="J30" s="48" t="s">
        <v>136</v>
      </c>
      <c r="K30" s="48"/>
      <c r="L30" s="48"/>
    </row>
    <row r="31" spans="2:12" ht="21" customHeight="1" x14ac:dyDescent="0.25">
      <c r="B31" s="55">
        <f>IF((SUMIFS(tblWater[Intake (m3)],tblWater[Month],"&gt;="&amp;FStart,tblWater[Month],"&lt;="&amp;FEnd)+SUMIFS(tblWater[Recycled (m3)],tblWater[Month],"&gt;="&amp;FStart,tblWater[Month],"&lt;="&amp;FEnd))=0,"",(SUMIFS(tblWater[Recycled (m3)],tblWater[Month],"&gt;="&amp;FStart,tblWater[Month],"&lt;="&amp;FEnd))/(SUMIFS(tblWater[Intake (m3)],tblWater[Month],"&gt;="&amp;FStart,tblWater[Month],"&lt;="&amp;FEnd)+SUMIFS(tblWater[Recycled (m3)],tblWater[Month],"&gt;="&amp;FStart,tblWater[Month],"&lt;="&amp;FEnd)))</f>
        <v>0.0248192271218587</v>
      </c>
      <c r="C31" s="55"/>
      <c r="D31" s="55">
        <f>IF((SUMIFS(tblWater[Intake (m3)],tblWater[Month],"&gt;="&amp;FStart,tblWater[Month],"&lt;="&amp;FEnd))=0,"",(SUMIFS(tblWater[Discharge (m3)],tblWater[Month],"&gt;="&amp;FStart,tblWater[Month],"&lt;="&amp;FEnd))/(SUMIFS(tblWater[Intake (m3)],tblWater[Month],"&gt;="&amp;FStart,tblWater[Month],"&lt;="&amp;FEnd)))</f>
        <v>0.521317976691535</v>
      </c>
      <c r="E31" s="55"/>
      <c r="F31" s="55"/>
      <c r="G31" s="50">
        <f>IF((SUMIFS(tblWater[Intake (m3)],tblWater[Month],"&gt;="&amp;FStart,tblWater[Month],"&lt;="&amp;FEnd))=0,"",(SUMIFS(tblWater[Water cost],tblWater[Month],"&gt;="&amp;FStart,tblWater[Month],"&lt;="&amp;FEnd))/(SUMIFS(tblWater[Intake (m3)],tblWater[Month],"&gt;="&amp;FStart,tblWater[Month],"&lt;="&amp;FEnd)))</f>
        <v>2.26723914728093</v>
      </c>
      <c r="H31" s="50"/>
      <c r="I31" s="50"/>
      <c r="J31" s="55">
        <f>IF(OR(SUMIFS(tblWater[Intake (m3)],tblWater[Month],"&gt;="&amp;FStart,tblWater[Month],"&lt;="&amp;FEnd)=0,SUMIFS(tblSubMeters[Volume (m3)],tblSubMeters[Month],"&gt;="&amp;FStart,tblSubMeters[Month],"&lt;="&amp;FEnd)=0),"",(SUMIFS(tblWater[Intake (m3)],tblWater[Month],"&gt;="&amp;FStart,tblWater[Month],"&lt;="&amp;FEnd)-SUMIFS(tblSubMeters[Volume (m3)],tblSubMeters[Month],"&gt;="&amp;FStart,tblSubMeters[Month],"&lt;="&amp;FEnd))/SUMIFS(tblWater[Intake (m3)],tblWater[Month],"&gt;="&amp;FStart,tblWater[Month],"&lt;="&amp;FEnd))</f>
        <v>0.0795283606582286</v>
      </c>
      <c r="K31" s="55"/>
      <c r="L31" s="55"/>
    </row>
    <row r="32" spans="2:12" ht="21" customHeight="1" x14ac:dyDescent="0.25">
      <c r="B32" s="55"/>
      <c r="C32" s="55"/>
      <c r="D32" s="55"/>
      <c r="E32" s="55"/>
      <c r="F32" s="55"/>
      <c r="G32" s="50"/>
      <c r="H32" s="50"/>
      <c r="I32" s="50"/>
      <c r="J32" s="55"/>
      <c r="K32" s="55"/>
      <c r="L32" s="55"/>
    </row>
    <row r="33" spans="2:12" x14ac:dyDescent="0.25">
      <c r="B33" s="52" t="s">
        <v>137</v>
      </c>
      <c r="C33" s="52"/>
      <c r="D33" s="52" t="s">
        <v>138</v>
      </c>
      <c r="E33" s="52"/>
      <c r="F33" s="52"/>
      <c r="G33" s="52" t="s">
        <v>139</v>
      </c>
      <c r="H33" s="52"/>
      <c r="I33" s="52"/>
      <c r="J33" s="56">
        <f>UnmeteredLimit</f>
        <v>0.1</v>
      </c>
      <c r="K33" s="56"/>
      <c r="L33" s="56"/>
    </row>
    <row r="34" spans="2:12" ht="18" customHeight="1" x14ac:dyDescent="0.25">
      <c r="B34" s="54"/>
      <c r="C34" s="54"/>
      <c r="D34" s="54"/>
      <c r="E34" s="54"/>
      <c r="F34" s="54"/>
      <c r="G34" s="54"/>
      <c r="H34" s="54"/>
      <c r="I34" s="54"/>
      <c r="J34" s="54" t="str">
        <f>IF(NOT(ISNUMBER(KpiUnmet)),"No data",IF(KpiUnmet&lt;=(UnmeteredLimit),"On target",IF(KpiUnmet&lt;=(UnmeteredLimit)*(1+0.05),"Near target","Above target")))</f>
        <v>On target</v>
      </c>
      <c r="K34" s="54"/>
      <c r="L34" s="54"/>
    </row>
    <row r="52" spans="2:11" x14ac:dyDescent="0.25">
      <c r="B52" s="32" t="s">
        <v>140</v>
      </c>
      <c r="C52" s="32"/>
      <c r="D52" s="32"/>
      <c r="E52" s="32"/>
      <c r="F52" s="32"/>
      <c r="G52" s="32"/>
      <c r="H52" s="32"/>
      <c r="I52" s="32"/>
      <c r="J52" s="32"/>
      <c r="K52" s="32"/>
    </row>
    <row r="53" spans="2:11" ht="32" customHeight="1" x14ac:dyDescent="0.25">
      <c r="B53" s="57" t="s">
        <v>97</v>
      </c>
      <c r="C53" s="34" t="s">
        <v>141</v>
      </c>
      <c r="D53" s="34" t="s">
        <v>142</v>
      </c>
      <c r="E53" s="34" t="s">
        <v>143</v>
      </c>
      <c r="F53" s="34" t="s">
        <v>107</v>
      </c>
      <c r="G53" s="34" t="s">
        <v>103</v>
      </c>
      <c r="H53" s="34" t="s">
        <v>104</v>
      </c>
      <c r="I53" s="34" t="s">
        <v>111</v>
      </c>
      <c r="J53" s="34" t="s">
        <v>144</v>
      </c>
      <c r="K53" s="34" t="s">
        <v>145</v>
      </c>
    </row>
    <row r="54" spans="2:11" ht="14" customHeight="1" x14ac:dyDescent="0.25">
      <c r="B54" s="35"/>
      <c r="C54" s="35"/>
      <c r="D54" s="35"/>
      <c r="E54" s="35"/>
      <c r="F54" s="35"/>
      <c r="G54" s="35" t="str">
        <f>Currency</f>
        <v>EUR</v>
      </c>
      <c r="H54" s="35" t="str">
        <f>Currency</f>
        <v>EUR</v>
      </c>
      <c r="I54" s="35" t="str">
        <f>"m3/"&amp;OutputUnit</f>
        <v>m3/kL product</v>
      </c>
      <c r="J54" s="35" t="str">
        <f>"m3/"&amp;OutputUnit</f>
        <v>m3/kL product</v>
      </c>
      <c r="K54" s="35" t="s">
        <v>118</v>
      </c>
    </row>
    <row r="55" spans="2:11" x14ac:dyDescent="0.25">
      <c r="B55" s="58">
        <f>IF(FEnd=0,"",FStart)</f>
        <v>45931</v>
      </c>
      <c r="C55" s="38">
        <f>IF($B$55="","",SUMIFS(tblWater[Mains],tblWater[Month],$B$55)*M3PerUnit)</f>
        <v>6110</v>
      </c>
      <c r="D55" s="38">
        <f>IF($B$55="","",SUMIFS(tblWater[Groundwater],tblWater[Month],$B$55)*M3PerUnit)</f>
        <v>4424</v>
      </c>
      <c r="E55" s="38">
        <f>IF($B$55="","",SUMIFS(tblWater[Other intake],tblWater[Month],$B$55)*M3PerUnit)</f>
        <v>0</v>
      </c>
      <c r="F55" s="38">
        <f>IF($B$55="","",SUMIFS(tblWater[Recycled (m3)],tblWater[Month],$B$55))</f>
        <v>0</v>
      </c>
      <c r="G55" s="38">
        <f>IF($B$55="","",SUMIFS(tblWater[Supply charges],tblWater[Month],$B$55))</f>
        <v>12074.38</v>
      </c>
      <c r="H55" s="38">
        <f>IF($B$55="","",SUMIFS(tblWater[Wastewater charges],tblWater[Month],$B$55))</f>
        <v>12095.4</v>
      </c>
      <c r="I55" s="39">
        <f>IF($B$55="","",IF((SUMIFS(tblWater[Production],tblWater[Month],$B$55))=0,"",(SUMIFS(tblWater[Intake (m3)],tblWater[Month],$B$55))/(SUMIFS(tblWater[Production],tblWater[Month],$B$55))))</f>
        <v>2.44862854486285</v>
      </c>
      <c r="J55" s="59">
        <f>TargetIntensity</f>
        <v>2.2</v>
      </c>
      <c r="K55" s="41">
        <f>IF($B$55="","",IF(OR(SUMIFS(tblWater[Intake (m3)],tblWater[Month],$B$55)=0,SUMIFS(tblSubMeters[Volume (m3)],tblSubMeters[Month],$B$55)=0),"",1-SUMIFS(tblSubMeters[Volume (m3)],tblSubMeters[Month],$B$55)/SUMIFS(tblWater[Intake (m3)],tblWater[Month],$B$55)))</f>
        <v>0.0699639263337764</v>
      </c>
    </row>
    <row r="56" spans="2:11" x14ac:dyDescent="0.25">
      <c r="B56" s="58">
        <f>IF($B$55="","",EDATE($B$55,1))</f>
        <v>45962</v>
      </c>
      <c r="C56" s="38">
        <f>IF($B$56="","",SUMIFS(tblWater[Mains],tblWater[Month],$B$56)*M3PerUnit)</f>
        <v>6067</v>
      </c>
      <c r="D56" s="38">
        <f>IF($B$56="","",SUMIFS(tblWater[Groundwater],tblWater[Month],$B$56)*M3PerUnit)</f>
        <v>4394</v>
      </c>
      <c r="E56" s="38">
        <f>IF($B$56="","",SUMIFS(tblWater[Other intake],tblWater[Month],$B$56)*M3PerUnit)</f>
        <v>0</v>
      </c>
      <c r="F56" s="38">
        <f>IF($B$56="","",SUMIFS(tblWater[Recycled (m3)],tblWater[Month],$B$56))</f>
        <v>0</v>
      </c>
      <c r="G56" s="38">
        <f>IF($B$56="","",SUMIFS(tblWater[Supply charges],tblWater[Month],$B$56))</f>
        <v>11991.23</v>
      </c>
      <c r="H56" s="38">
        <f>IF($B$56="","",SUMIFS(tblWater[Wastewater charges],tblWater[Month],$B$56))</f>
        <v>12179.4</v>
      </c>
      <c r="I56" s="39">
        <f>IF($B$56="","",IF((SUMIFS(tblWater[Production],tblWater[Month],$B$56))=0,"",(SUMIFS(tblWater[Intake (m3)],tblWater[Month],$B$56))/(SUMIFS(tblWater[Production],tblWater[Month],$B$56))))</f>
        <v>2.47949751125859</v>
      </c>
      <c r="J56" s="59">
        <f>TargetIntensity</f>
        <v>2.2</v>
      </c>
      <c r="K56" s="41">
        <f>IF($B$56="","",IF(OR(SUMIFS(tblWater[Intake (m3)],tblWater[Month],$B$56)=0,SUMIFS(tblSubMeters[Volume (m3)],tblSubMeters[Month],$B$56)=0),"",1-SUMIFS(tblSubMeters[Volume (m3)],tblSubMeters[Month],$B$56)/SUMIFS(tblWater[Intake (m3)],tblWater[Month],$B$56)))</f>
        <v>0.0699741898480069</v>
      </c>
    </row>
    <row r="57" spans="2:11" x14ac:dyDescent="0.25">
      <c r="B57" s="58">
        <f>IF($B$56="","",EDATE($B$56,1))</f>
        <v>45992</v>
      </c>
      <c r="C57" s="38">
        <f>IF($B$57="","",SUMIFS(tblWater[Mains],tblWater[Month],$B$57)*M3PerUnit)</f>
        <v>5949</v>
      </c>
      <c r="D57" s="38">
        <f>IF($B$57="","",SUMIFS(tblWater[Groundwater],tblWater[Month],$B$57)*M3PerUnit)</f>
        <v>4307</v>
      </c>
      <c r="E57" s="38">
        <f>IF($B$57="","",SUMIFS(tblWater[Other intake],tblWater[Month],$B$57)*M3PerUnit)</f>
        <v>0</v>
      </c>
      <c r="F57" s="38">
        <f>IF($B$57="","",SUMIFS(tblWater[Recycled (m3)],tblWater[Month],$B$57))</f>
        <v>0</v>
      </c>
      <c r="G57" s="38">
        <f>IF($B$57="","",SUMIFS(tblWater[Supply charges],tblWater[Month],$B$57))</f>
        <v>11762.49</v>
      </c>
      <c r="H57" s="38">
        <f>IF($B$57="","",SUMIFS(tblWater[Wastewater charges],tblWater[Month],$B$57))</f>
        <v>11767.8</v>
      </c>
      <c r="I57" s="39">
        <f>IF($B$57="","",IF((SUMIFS(tblWater[Production],tblWater[Month],$B$57))=0,"",(SUMIFS(tblWater[Intake (m3)],tblWater[Month],$B$57))/(SUMIFS(tblWater[Production],tblWater[Month],$B$57))))</f>
        <v>2.43379212149976</v>
      </c>
      <c r="J57" s="59">
        <f>TargetIntensity</f>
        <v>2.2</v>
      </c>
      <c r="K57" s="41">
        <f>IF($B$57="","",IF(OR(SUMIFS(tblWater[Intake (m3)],tblWater[Month],$B$57)=0,SUMIFS(tblSubMeters[Volume (m3)],tblSubMeters[Month],$B$57)=0),"",1-SUMIFS(tblSubMeters[Volume (m3)],tblSubMeters[Month],$B$57)/SUMIFS(tblWater[Intake (m3)],tblWater[Month],$B$57)))</f>
        <v>0.0700078003120125</v>
      </c>
    </row>
    <row r="58" spans="2:11" x14ac:dyDescent="0.25">
      <c r="B58" s="58">
        <f>IF($B$57="","",EDATE($B$57,1))</f>
        <v>46023</v>
      </c>
      <c r="C58" s="38">
        <f>IF($B$58="","",SUMIFS(tblWater[Mains],tblWater[Month],$B$58)*M3PerUnit)</f>
        <v>5950</v>
      </c>
      <c r="D58" s="38">
        <f>IF($B$58="","",SUMIFS(tblWater[Groundwater],tblWater[Month],$B$58)*M3PerUnit)</f>
        <v>4309</v>
      </c>
      <c r="E58" s="38">
        <f>IF($B$58="","",SUMIFS(tblWater[Other intake],tblWater[Month],$B$58)*M3PerUnit)</f>
        <v>0</v>
      </c>
      <c r="F58" s="38">
        <f>IF($B$58="","",SUMIFS(tblWater[Recycled (m3)],tblWater[Month],$B$58))</f>
        <v>0</v>
      </c>
      <c r="G58" s="38">
        <f>IF($B$58="","",SUMIFS(tblWater[Supply charges],tblWater[Month],$B$58))</f>
        <v>11764.58</v>
      </c>
      <c r="H58" s="38">
        <f>IF($B$58="","",SUMIFS(tblWater[Wastewater charges],tblWater[Month],$B$58))</f>
        <v>11826.6</v>
      </c>
      <c r="I58" s="39">
        <f>IF($B$58="","",IF((SUMIFS(tblWater[Production],tblWater[Month],$B$58))=0,"",(SUMIFS(tblWater[Intake (m3)],tblWater[Month],$B$58))/(SUMIFS(tblWater[Production],tblWater[Month],$B$58))))</f>
        <v>2.46314525810324</v>
      </c>
      <c r="J58" s="59">
        <f>TargetIntensity</f>
        <v>2.2</v>
      </c>
      <c r="K58" s="41">
        <f>IF($B$58="","",IF(OR(SUMIFS(tblWater[Intake (m3)],tblWater[Month],$B$58)=0,SUMIFS(tblSubMeters[Volume (m3)],tblSubMeters[Month],$B$58)=0),"",1-SUMIFS(tblSubMeters[Volume (m3)],tblSubMeters[Month],$B$58)/SUMIFS(tblWater[Intake (m3)],tblWater[Month],$B$58)))</f>
        <v>0.0699873281996296</v>
      </c>
    </row>
    <row r="59" spans="2:11" x14ac:dyDescent="0.25">
      <c r="B59" s="58">
        <f>IF($B$58="","",EDATE($B$58,1))</f>
        <v>46054</v>
      </c>
      <c r="C59" s="38">
        <f>IF($B$59="","",SUMIFS(tblWater[Mains],tblWater[Month],$B$59)*M3PerUnit)</f>
        <v>6114</v>
      </c>
      <c r="D59" s="38">
        <f>IF($B$59="","",SUMIFS(tblWater[Groundwater],tblWater[Month],$B$59)*M3PerUnit)</f>
        <v>4428</v>
      </c>
      <c r="E59" s="38">
        <f>IF($B$59="","",SUMIFS(tblWater[Other intake],tblWater[Month],$B$59)*M3PerUnit)</f>
        <v>0</v>
      </c>
      <c r="F59" s="38">
        <f>IF($B$59="","",SUMIFS(tblWater[Recycled (m3)],tblWater[Month],$B$59))</f>
        <v>0</v>
      </c>
      <c r="G59" s="38">
        <f>IF($B$59="","",SUMIFS(tblWater[Supply charges],tblWater[Month],$B$59))</f>
        <v>12082.26</v>
      </c>
      <c r="H59" s="38">
        <f>IF($B$59="","",SUMIFS(tblWater[Wastewater charges],tblWater[Month],$B$59))</f>
        <v>11975.7</v>
      </c>
      <c r="I59" s="39">
        <f>IF($B$59="","",IF((SUMIFS(tblWater[Production],tblWater[Month],$B$59))=0,"",(SUMIFS(tblWater[Intake (m3)],tblWater[Month],$B$59))/(SUMIFS(tblWater[Production],tblWater[Month],$B$59))))</f>
        <v>2.41235697940503</v>
      </c>
      <c r="J59" s="59">
        <f>TargetIntensity</f>
        <v>2.2</v>
      </c>
      <c r="K59" s="41">
        <f>IF($B$59="","",IF(OR(SUMIFS(tblWater[Intake (m3)],tblWater[Month],$B$59)=0,SUMIFS(tblSubMeters[Volume (m3)],tblSubMeters[Month],$B$59)=0),"",1-SUMIFS(tblSubMeters[Volume (m3)],tblSubMeters[Month],$B$59)/SUMIFS(tblWater[Intake (m3)],tblWater[Month],$B$59)))</f>
        <v>0.0700056915196358</v>
      </c>
    </row>
    <row r="60" spans="2:11" x14ac:dyDescent="0.25">
      <c r="B60" s="58">
        <f>IF($B$59="","",EDATE($B$59,1))</f>
        <v>46082</v>
      </c>
      <c r="C60" s="38">
        <f>IF($B$60="","",SUMIFS(tblWater[Mains],tblWater[Month],$B$60)*M3PerUnit)</f>
        <v>5625</v>
      </c>
      <c r="D60" s="38">
        <f>IF($B$60="","",SUMIFS(tblWater[Groundwater],tblWater[Month],$B$60)*M3PerUnit)</f>
        <v>4073</v>
      </c>
      <c r="E60" s="38">
        <f>IF($B$60="","",SUMIFS(tblWater[Other intake],tblWater[Month],$B$60)*M3PerUnit)</f>
        <v>0</v>
      </c>
      <c r="F60" s="38">
        <f>IF($B$60="","",SUMIFS(tblWater[Recycled (m3)],tblWater[Month],$B$60))</f>
        <v>424</v>
      </c>
      <c r="G60" s="38">
        <f>IF($B$60="","",SUMIFS(tblWater[Supply charges],tblWater[Month],$B$60))</f>
        <v>11135.01</v>
      </c>
      <c r="H60" s="38">
        <f>IF($B$60="","",SUMIFS(tblWater[Wastewater charges],tblWater[Month],$B$60))</f>
        <v>10638</v>
      </c>
      <c r="I60" s="39">
        <f>IF($B$60="","",IF((SUMIFS(tblWater[Production],tblWater[Month],$B$60))=0,"",(SUMIFS(tblWater[Intake (m3)],tblWater[Month],$B$60))/(SUMIFS(tblWater[Production],tblWater[Month],$B$60))))</f>
        <v>2.3267754318618</v>
      </c>
      <c r="J60" s="59">
        <f>TargetIntensity</f>
        <v>2.2</v>
      </c>
      <c r="K60" s="41">
        <f>IF($B$60="","",IF(OR(SUMIFS(tblWater[Intake (m3)],tblWater[Month],$B$60)=0,SUMIFS(tblSubMeters[Volume (m3)],tblSubMeters[Month],$B$60)=0),"",1-SUMIFS(tblSubMeters[Volume (m3)],tblSubMeters[Month],$B$60)/SUMIFS(tblWater[Intake (m3)],tblWater[Month],$B$60)))</f>
        <v>0.0700144359661786</v>
      </c>
    </row>
    <row r="61" spans="2:11" x14ac:dyDescent="0.25">
      <c r="B61" s="58">
        <f>IF($B$60="","",EDATE($B$60,1))</f>
        <v>46113</v>
      </c>
      <c r="C61" s="38">
        <f>IF($B$61="","",SUMIFS(tblWater[Mains],tblWater[Month],$B$61)*M3PerUnit)</f>
        <v>5767</v>
      </c>
      <c r="D61" s="38">
        <f>IF($B$61="","",SUMIFS(tblWater[Groundwater],tblWater[Month],$B$61)*M3PerUnit)</f>
        <v>4176</v>
      </c>
      <c r="E61" s="38">
        <f>IF($B$61="","",SUMIFS(tblWater[Other intake],tblWater[Month],$B$61)*M3PerUnit)</f>
        <v>0</v>
      </c>
      <c r="F61" s="38">
        <f>IF($B$61="","",SUMIFS(tblWater[Recycled (m3)],tblWater[Month],$B$61))</f>
        <v>420</v>
      </c>
      <c r="G61" s="38">
        <f>IF($B$61="","",SUMIFS(tblWater[Supply charges],tblWater[Month],$B$61))</f>
        <v>11410.07</v>
      </c>
      <c r="H61" s="38">
        <f>IF($B$61="","",SUMIFS(tblWater[Wastewater charges],tblWater[Month],$B$61))</f>
        <v>10911</v>
      </c>
      <c r="I61" s="39">
        <f>IF($B$61="","",IF((SUMIFS(tblWater[Production],tblWater[Month],$B$61))=0,"",(SUMIFS(tblWater[Intake (m3)],tblWater[Month],$B$61))/(SUMIFS(tblWater[Production],tblWater[Month],$B$61))))</f>
        <v>2.31286345661782</v>
      </c>
      <c r="J61" s="59">
        <f>TargetIntensity</f>
        <v>2.2</v>
      </c>
      <c r="K61" s="41">
        <f>IF($B$61="","",IF(OR(SUMIFS(tblWater[Intake (m3)],tblWater[Month],$B$61)=0,SUMIFS(tblSubMeters[Volume (m3)],tblSubMeters[Month],$B$61)=0),"",1-SUMIFS(tblSubMeters[Volume (m3)],tblSubMeters[Month],$B$61)/SUMIFS(tblWater[Intake (m3)],tblWater[Month],$B$61)))</f>
        <v>0.0699989942673237</v>
      </c>
    </row>
    <row r="62" spans="2:11" x14ac:dyDescent="0.25">
      <c r="B62" s="58">
        <f>IF($B$61="","",EDATE($B$61,1))</f>
        <v>46143</v>
      </c>
      <c r="C62" s="38">
        <f>IF($B$62="","",SUMIFS(tblWater[Mains],tblWater[Month],$B$62)*M3PerUnit)</f>
        <v>6123</v>
      </c>
      <c r="D62" s="38">
        <f>IF($B$62="","",SUMIFS(tblWater[Groundwater],tblWater[Month],$B$62)*M3PerUnit)</f>
        <v>4433</v>
      </c>
      <c r="E62" s="38">
        <f>IF($B$62="","",SUMIFS(tblWater[Other intake],tblWater[Month],$B$62)*M3PerUnit)</f>
        <v>0</v>
      </c>
      <c r="F62" s="38">
        <f>IF($B$62="","",SUMIFS(tblWater[Recycled (m3)],tblWater[Month],$B$62))</f>
        <v>449</v>
      </c>
      <c r="G62" s="38">
        <f>IF($B$62="","",SUMIFS(tblWater[Supply charges],tblWater[Month],$B$62))</f>
        <v>12099.51</v>
      </c>
      <c r="H62" s="38">
        <f>IF($B$62="","",SUMIFS(tblWater[Wastewater charges],tblWater[Month],$B$62))</f>
        <v>11419.2</v>
      </c>
      <c r="I62" s="39">
        <f>IF($B$62="","",IF((SUMIFS(tblWater[Production],tblWater[Month],$B$62))=0,"",(SUMIFS(tblWater[Intake (m3)],tblWater[Month],$B$62))/(SUMIFS(tblWater[Production],tblWater[Month],$B$62))))</f>
        <v>2.29528158295282</v>
      </c>
      <c r="J62" s="59">
        <f>TargetIntensity</f>
        <v>2.2</v>
      </c>
      <c r="K62" s="41">
        <f>IF($B$62="","",IF(OR(SUMIFS(tblWater[Intake (m3)],tblWater[Month],$B$62)=0,SUMIFS(tblSubMeters[Volume (m3)],tblSubMeters[Month],$B$62)=0),"",1-SUMIFS(tblSubMeters[Volume (m3)],tblSubMeters[Month],$B$62)/SUMIFS(tblWater[Intake (m3)],tblWater[Month],$B$62)))</f>
        <v>0.0700075786282682</v>
      </c>
    </row>
    <row r="63" spans="2:11" x14ac:dyDescent="0.25">
      <c r="B63" s="58">
        <f>IF($B$62="","",EDATE($B$62,1))</f>
        <v>46174</v>
      </c>
      <c r="C63" s="38">
        <f>IF($B$63="","",SUMIFS(tblWater[Mains],tblWater[Month],$B$63)*M3PerUnit)</f>
        <v>8092</v>
      </c>
      <c r="D63" s="38">
        <f>IF($B$63="","",SUMIFS(tblWater[Groundwater],tblWater[Month],$B$63)*M3PerUnit)</f>
        <v>5860</v>
      </c>
      <c r="E63" s="38">
        <f>IF($B$63="","",SUMIFS(tblWater[Other intake],tblWater[Month],$B$63)*M3PerUnit)</f>
        <v>0</v>
      </c>
      <c r="F63" s="38">
        <f>IF($B$63="","",SUMIFS(tblWater[Recycled (m3)],tblWater[Month],$B$63))</f>
        <v>538</v>
      </c>
      <c r="G63" s="38">
        <f>IF($B$63="","",SUMIFS(tblWater[Supply charges],tblWater[Month],$B$63))</f>
        <v>15913.4</v>
      </c>
      <c r="H63" s="38">
        <f>IF($B$63="","",SUMIFS(tblWater[Wastewater charges],tblWater[Month],$B$63))</f>
        <v>16188.3</v>
      </c>
      <c r="I63" s="39">
        <f>IF($B$63="","",IF((SUMIFS(tblWater[Production],tblWater[Month],$B$63))=0,"",(SUMIFS(tblWater[Intake (m3)],tblWater[Month],$B$63))/(SUMIFS(tblWater[Production],tblWater[Month],$B$63))))</f>
        <v>2.71175898931001</v>
      </c>
      <c r="J63" s="59">
        <f>TargetIntensity</f>
        <v>2.2</v>
      </c>
      <c r="K63" s="41">
        <f>IF($B$63="","",IF(OR(SUMIFS(tblWater[Intake (m3)],tblWater[Month],$B$63)=0,SUMIFS(tblSubMeters[Volume (m3)],tblSubMeters[Month],$B$63)=0),"",1-SUMIFS(tblSubMeters[Volume (m3)],tblSubMeters[Month],$B$63)/SUMIFS(tblWater[Intake (m3)],tblWater[Month],$B$63)))</f>
        <v>0.159977064220184</v>
      </c>
    </row>
    <row r="64" spans="2:11" x14ac:dyDescent="0.25">
      <c r="B64" s="58">
        <f>IF($B$63="","",EDATE($B$63,1))</f>
        <v>46204</v>
      </c>
      <c r="C64" s="38">
        <f>IF($B$64="","",SUMIFS(tblWater[Mains],tblWater[Month],$B$64)*M3PerUnit)</f>
        <v>7399</v>
      </c>
      <c r="D64" s="38">
        <f>IF($B$64="","",SUMIFS(tblWater[Groundwater],tblWater[Month],$B$64)*M3PerUnit)</f>
        <v>5358</v>
      </c>
      <c r="E64" s="38">
        <f>IF($B$64="","",SUMIFS(tblWater[Other intake],tblWater[Month],$B$64)*M3PerUnit)</f>
        <v>0</v>
      </c>
      <c r="F64" s="38">
        <f>IF($B$64="","",SUMIFS(tblWater[Recycled (m3)],tblWater[Month],$B$64))</f>
        <v>541</v>
      </c>
      <c r="G64" s="38">
        <f>IF($B$64="","",SUMIFS(tblWater[Supply charges],tblWater[Month],$B$64))</f>
        <v>14571.11</v>
      </c>
      <c r="H64" s="38">
        <f>IF($B$64="","",SUMIFS(tblWater[Wastewater charges],tblWater[Month],$B$64))</f>
        <v>13294.5</v>
      </c>
      <c r="I64" s="39">
        <f>IF($B$64="","",IF((SUMIFS(tblWater[Production],tblWater[Month],$B$64))=0,"",(SUMIFS(tblWater[Intake (m3)],tblWater[Month],$B$64))/(SUMIFS(tblWater[Production],tblWater[Month],$B$64))))</f>
        <v>2.42436335993919</v>
      </c>
      <c r="J64" s="59">
        <f>TargetIntensity</f>
        <v>2.2</v>
      </c>
      <c r="K64" s="41">
        <f>IF($B$64="","",IF(OR(SUMIFS(tblWater[Intake (m3)],tblWater[Month],$B$64)=0,SUMIFS(tblSubMeters[Volume (m3)],tblSubMeters[Month],$B$64)=0),"",1-SUMIFS(tblSubMeters[Volume (m3)],tblSubMeters[Month],$B$64)/SUMIFS(tblWater[Intake (m3)],tblWater[Month],$B$64)))</f>
        <v>0.0700007838833582</v>
      </c>
    </row>
    <row r="65" spans="2:12" x14ac:dyDescent="0.25">
      <c r="B65" s="58">
        <f>IF($B$64="","",EDATE($B$64,1))</f>
        <v>46235</v>
      </c>
      <c r="C65" s="38">
        <f>IF($B$65="","",SUMIFS(tblWater[Mains],tblWater[Month],$B$65)*M3PerUnit)</f>
        <v>6968</v>
      </c>
      <c r="D65" s="38">
        <f>IF($B$65="","",SUMIFS(tblWater[Groundwater],tblWater[Month],$B$65)*M3PerUnit)</f>
        <v>5046</v>
      </c>
      <c r="E65" s="38">
        <f>IF($B$65="","",SUMIFS(tblWater[Other intake],tblWater[Month],$B$65)*M3PerUnit)</f>
        <v>420</v>
      </c>
      <c r="F65" s="38">
        <f>IF($B$65="","",SUMIFS(tblWater[Recycled (m3)],tblWater[Month],$B$65))</f>
        <v>530</v>
      </c>
      <c r="G65" s="38">
        <f>IF($B$65="","",SUMIFS(tblWater[Supply charges],tblWater[Month],$B$65))</f>
        <v>15626.32</v>
      </c>
      <c r="H65" s="38">
        <f>IF($B$65="","",SUMIFS(tblWater[Wastewater charges],tblWater[Month],$B$65))</f>
        <v>12958.5</v>
      </c>
      <c r="I65" s="39">
        <f>IF($B$65="","",IF((SUMIFS(tblWater[Production],tblWater[Month],$B$65))=0,"",(SUMIFS(tblWater[Intake (m3)],tblWater[Month],$B$65))/(SUMIFS(tblWater[Production],tblWater[Month],$B$65))))</f>
        <v>2.42899003711662</v>
      </c>
      <c r="J65" s="59">
        <f>TargetIntensity</f>
        <v>2.2</v>
      </c>
      <c r="K65" s="41">
        <f>IF($B$65="","",IF(OR(SUMIFS(tblWater[Intake (m3)],tblWater[Month],$B$65)=0,SUMIFS(tblSubMeters[Volume (m3)],tblSubMeters[Month],$B$65)=0),"",1-SUMIFS(tblSubMeters[Volume (m3)],tblSubMeters[Month],$B$65)/SUMIFS(tblWater[Intake (m3)],tblWater[Month],$B$65)))</f>
        <v>0.069969438635998</v>
      </c>
    </row>
    <row r="66" spans="2:12" x14ac:dyDescent="0.25">
      <c r="B66" s="58">
        <f>IF($B$65="","",EDATE($B$65,1))</f>
        <v>46266</v>
      </c>
      <c r="C66" s="38">
        <f>IF($B$66="","",SUMIFS(tblWater[Mains],tblWater[Month],$B$66)*M3PerUnit)</f>
        <v>5936</v>
      </c>
      <c r="D66" s="38">
        <f>IF($B$66="","",SUMIFS(tblWater[Groundwater],tblWater[Month],$B$66)*M3PerUnit)</f>
        <v>4298</v>
      </c>
      <c r="E66" s="38">
        <f>IF($B$66="","",SUMIFS(tblWater[Other intake],tblWater[Month],$B$66)*M3PerUnit)</f>
        <v>0</v>
      </c>
      <c r="F66" s="38">
        <f>IF($B$66="","",SUMIFS(tblWater[Recycled (m3)],tblWater[Month],$B$66))</f>
        <v>448</v>
      </c>
      <c r="G66" s="38">
        <f>IF($B$66="","",SUMIFS(tblWater[Supply charges],tblWater[Month],$B$66))</f>
        <v>11737.36</v>
      </c>
      <c r="H66" s="38">
        <f>IF($B$66="","",SUMIFS(tblWater[Wastewater charges],tblWater[Month],$B$66))</f>
        <v>11005.5</v>
      </c>
      <c r="I66" s="39">
        <f>IF($B$66="","",IF((SUMIFS(tblWater[Production],tblWater[Month],$B$66))=0,"",(SUMIFS(tblWater[Intake (m3)],tblWater[Month],$B$66))/(SUMIFS(tblWater[Production],tblWater[Month],$B$66))))</f>
        <v>2.27624555160142</v>
      </c>
      <c r="J66" s="59">
        <f>TargetIntensity</f>
        <v>2.2</v>
      </c>
      <c r="K66" s="41">
        <f>IF($B$66="","",IF(OR(SUMIFS(tblWater[Intake (m3)],tblWater[Month],$B$66)=0,SUMIFS(tblSubMeters[Volume (m3)],tblSubMeters[Month],$B$66)=0),"",1-SUMIFS(tblSubMeters[Volume (m3)],tblSubMeters[Month],$B$66)/SUMIFS(tblWater[Intake (m3)],tblWater[Month],$B$66)))</f>
        <v>0.0699628688684776</v>
      </c>
    </row>
    <row r="68" spans="2:12" x14ac:dyDescent="0.25">
      <c r="B68" s="32" t="s">
        <v>146</v>
      </c>
      <c r="C68" s="32"/>
      <c r="D68" s="32"/>
      <c r="E68" s="32"/>
      <c r="F68" s="32"/>
      <c r="H68" s="32" t="s">
        <v>147</v>
      </c>
      <c r="I68" s="32"/>
      <c r="J68" s="32"/>
      <c r="K68" s="32"/>
      <c r="L68" s="32"/>
    </row>
    <row r="69" spans="2:12" ht="45.5" customHeight="1" x14ac:dyDescent="0.25">
      <c r="B69" s="57" t="s">
        <v>148</v>
      </c>
      <c r="C69" s="34" t="s">
        <v>149</v>
      </c>
      <c r="D69" s="34" t="s">
        <v>124</v>
      </c>
      <c r="E69" s="34" t="s">
        <v>150</v>
      </c>
      <c r="F69" s="34" t="s">
        <v>151</v>
      </c>
      <c r="H69" s="27" t="s">
        <v>152</v>
      </c>
      <c r="I69" s="27"/>
      <c r="J69" s="27"/>
      <c r="K69" s="38">
        <f>SUMIFS(tblSubMeters[Volume (m3)],tblSubMeters[Month],"&gt;="&amp;FStart,tblSubMeters[Month],"&lt;="&amp;FEnd)</f>
        <v>121158</v>
      </c>
      <c r="L69" s="7" t="s">
        <v>73</v>
      </c>
    </row>
    <row r="70" spans="2:12" ht="14" customHeight="1" x14ac:dyDescent="0.25">
      <c r="B70" s="35"/>
      <c r="C70" s="35"/>
      <c r="D70" s="35" t="s">
        <v>118</v>
      </c>
      <c r="E70" s="35" t="str">
        <f>"m3/"&amp;OutputUnit</f>
        <v>m3/kL product</v>
      </c>
      <c r="F70" s="35" t="str">
        <f>Currency</f>
        <v>EUR</v>
      </c>
      <c r="H70" s="27" t="s">
        <v>153</v>
      </c>
      <c r="I70" s="27"/>
      <c r="J70" s="27"/>
      <c r="K70" s="38">
        <f>IF(SUMIFS(tblWater[Intake (m3)],tblWater[Month],"&gt;="&amp;FStart,tblWater[Month],"&lt;="&amp;FEnd)=0,"",SUMIFS(tblWater[Intake (m3)],tblWater[Month],"&gt;="&amp;FStart,tblWater[Month],"&lt;="&amp;FEnd)-Metered)</f>
        <v>10468</v>
      </c>
      <c r="L70" s="7" t="s">
        <v>73</v>
      </c>
    </row>
    <row r="71" spans="2:12" x14ac:dyDescent="0.25">
      <c r="B71" s="60" t="str">
        <f>IFERROR(INDEX(tblMeters[Meter],1)&amp;"","")</f>
        <v>Syrup and blending</v>
      </c>
      <c r="C71" s="38">
        <f>IF($B$71="","",SUMIFS(tblSubMeters[Volume (m3)],tblSubMeters[Meter],$B$71,tblSubMeters[Month],"&gt;="&amp;FStart,tblSubMeters[Month],"&lt;="&amp;FEnd))</f>
        <v>51496</v>
      </c>
      <c r="D71" s="41">
        <f>IF($B$71="","",IF((SUMIFS(tblWater[Intake (m3)],tblWater[Month],"&gt;="&amp;FStart,tblWater[Month],"&lt;="&amp;FEnd))=0,"",($C$71)/(SUMIFS(tblWater[Intake (m3)],tblWater[Month],"&gt;="&amp;FStart,tblWater[Month],"&lt;="&amp;FEnd))))</f>
        <v>0.391229696260617</v>
      </c>
      <c r="E71" s="61">
        <f>IF($B$71="","",IF((SUMIFS(tblWater[Production],tblWater[Month],"&gt;="&amp;FStart,tblWater[Month],"&lt;="&amp;FEnd))=0,"",($C$71)/(SUMIFS(tblWater[Production],tblWater[Month],"&gt;="&amp;FStart,tblWater[Month],"&lt;="&amp;FEnd))))</f>
        <v>0.947349056256669</v>
      </c>
      <c r="F71" s="38">
        <f>IF($B$71="","",$C$71*N(KpiCPM3))</f>
        <v>116753.747128379</v>
      </c>
    </row>
    <row r="72" spans="2:12" x14ac:dyDescent="0.25">
      <c r="B72" s="60" t="str">
        <f>IFERROR(INDEX(tblMeters[Meter],2)&amp;"","")</f>
        <v>Bottle rinser</v>
      </c>
      <c r="C72" s="38">
        <f>IF($B$72="","",SUMIFS(tblSubMeters[Volume (m3)],tblSubMeters[Meter],$B$72,tblSubMeters[Month],"&gt;="&amp;FStart,tblSubMeters[Month],"&lt;="&amp;FEnd))</f>
        <v>16265</v>
      </c>
      <c r="D72" s="41">
        <f>IF($B$72="","",IF((SUMIFS(tblWater[Intake (m3)],tblWater[Month],"&gt;="&amp;FStart,tblWater[Month],"&lt;="&amp;FEnd))=0,"",($C$72)/(SUMIFS(tblWater[Intake (m3)],tblWater[Month],"&gt;="&amp;FStart,tblWater[Month],"&lt;="&amp;FEnd))))</f>
        <v>0.123569811435431</v>
      </c>
      <c r="E72" s="61">
        <f>IF($B$72="","",IF((SUMIFS(tblWater[Production],tblWater[Month],"&gt;="&amp;FStart,tblWater[Month],"&lt;="&amp;FEnd))=0,"",($C$72)/(SUMIFS(tblWater[Production],tblWater[Month],"&gt;="&amp;FStart,tblWater[Month],"&lt;="&amp;FEnd))))</f>
        <v>0.299219986018617</v>
      </c>
      <c r="F72" s="38">
        <f>IF($B$72="","",$C$72*N(KpiCPM3))</f>
        <v>36876.6447305244</v>
      </c>
    </row>
    <row r="73" spans="2:12" x14ac:dyDescent="0.25">
      <c r="B73" s="60" t="str">
        <f>IFERROR(INDEX(tblMeters[Meter],3)&amp;"","")</f>
        <v>CIP</v>
      </c>
      <c r="C73" s="38">
        <f>IF($B$73="","",SUMIFS(tblSubMeters[Volume (m3)],tblSubMeters[Meter],$B$73,tblSubMeters[Month],"&gt;="&amp;FStart,tblSubMeters[Month],"&lt;="&amp;FEnd))</f>
        <v>25049</v>
      </c>
      <c r="D73" s="41">
        <f>IF($B$73="","",IF((SUMIFS(tblWater[Intake (m3)],tblWater[Month],"&gt;="&amp;FStart,tblWater[Month],"&lt;="&amp;FEnd))=0,"",($C$73)/(SUMIFS(tblWater[Intake (m3)],tblWater[Month],"&gt;="&amp;FStart,tblWater[Month],"&lt;="&amp;FEnd))))</f>
        <v>0.190304347165454</v>
      </c>
      <c r="E73" s="61">
        <f>IF($B$73="","",IF((SUMIFS(tblWater[Production],tblWater[Month],"&gt;="&amp;FStart,tblWater[Month],"&lt;="&amp;FEnd))=0,"",($C$73)/(SUMIFS(tblWater[Production],tblWater[Month],"&gt;="&amp;FStart,tblWater[Month],"&lt;="&amp;FEnd))))</f>
        <v>0.460815335369219</v>
      </c>
      <c r="F73" s="38">
        <f>IF($B$73="","",$C$73*N(KpiCPM3))</f>
        <v>56792.0734002401</v>
      </c>
    </row>
    <row r="74" spans="2:12" x14ac:dyDescent="0.25">
      <c r="B74" s="60" t="str">
        <f>IFERROR(INDEX(tblMeters[Meter],4)&amp;"","")</f>
        <v>Boiler make-up</v>
      </c>
      <c r="C74" s="38">
        <f>IF($B$74="","",SUMIFS(tblSubMeters[Volume (m3)],tblSubMeters[Meter],$B$74,tblSubMeters[Month],"&gt;="&amp;FStart,tblSubMeters[Month],"&lt;="&amp;FEnd))</f>
        <v>7599</v>
      </c>
      <c r="D74" s="41">
        <f>IF($B$74="","",IF((SUMIFS(tblWater[Intake (m3)],tblWater[Month],"&gt;="&amp;FStart,tblWater[Month],"&lt;="&amp;FEnd))=0,"",($C$74)/(SUMIFS(tblWater[Intake (m3)],tblWater[Month],"&gt;="&amp;FStart,tblWater[Month],"&lt;="&amp;FEnd))))</f>
        <v>0.0577317551243675</v>
      </c>
      <c r="E74" s="61">
        <f>IF($B$74="","",IF((SUMIFS(tblWater[Production],tblWater[Month],"&gt;="&amp;FStart,tblWater[Month],"&lt;="&amp;FEnd))=0,"",($C$74)/(SUMIFS(tblWater[Production],tblWater[Month],"&gt;="&amp;FStart,tblWater[Month],"&lt;="&amp;FEnd))))</f>
        <v>0.139795430295449</v>
      </c>
      <c r="F74" s="38">
        <f>IF($B$74="","",$C$74*N(KpiCPM3))</f>
        <v>17228.7502801878</v>
      </c>
    </row>
    <row r="75" spans="2:12" x14ac:dyDescent="0.25">
      <c r="B75" s="60" t="str">
        <f>IFERROR(INDEX(tblMeters[Meter],5)&amp;"","")</f>
        <v>Cooling tower</v>
      </c>
      <c r="C75" s="38">
        <f>IF($B$75="","",SUMIFS(tblSubMeters[Volume (m3)],tblSubMeters[Meter],$B$75,tblSubMeters[Month],"&gt;="&amp;FStart,tblSubMeters[Month],"&lt;="&amp;FEnd))</f>
        <v>14290</v>
      </c>
      <c r="D75" s="41">
        <f>IF($B$75="","",IF((SUMIFS(tblWater[Intake (m3)],tblWater[Month],"&gt;="&amp;FStart,tblWater[Month],"&lt;="&amp;FEnd))=0,"",($C$75)/(SUMIFS(tblWater[Intake (m3)],tblWater[Month],"&gt;="&amp;FStart,tblWater[Month],"&lt;="&amp;FEnd))))</f>
        <v>0.108565177092672</v>
      </c>
      <c r="E75" s="61">
        <f>IF($B$75="","",IF((SUMIFS(tblWater[Production],tblWater[Month],"&gt;="&amp;FStart,tblWater[Month],"&lt;="&amp;FEnd))=0,"",($C$75)/(SUMIFS(tblWater[Production],tblWater[Month],"&gt;="&amp;FStart,tblWater[Month],"&lt;="&amp;FEnd))))</f>
        <v>0.262886787593363</v>
      </c>
      <c r="F75" s="38">
        <f>IF($B$75="","",$C$75*N(KpiCPM3))</f>
        <v>32398.8474146445</v>
      </c>
    </row>
    <row r="76" spans="2:12" x14ac:dyDescent="0.25">
      <c r="B76" s="60" t="str">
        <f>IFERROR(INDEX(tblMeters[Meter],6)&amp;"","")</f>
        <v>Washrooms and canteen</v>
      </c>
      <c r="C76" s="38">
        <f>IF($B$76="","",SUMIFS(tblSubMeters[Volume (m3)],tblSubMeters[Meter],$B$76,tblSubMeters[Month],"&gt;="&amp;FStart,tblSubMeters[Month],"&lt;="&amp;FEnd))</f>
        <v>6459</v>
      </c>
      <c r="D76" s="41">
        <f>IF($B$76="","",IF((SUMIFS(tblWater[Intake (m3)],tblWater[Month],"&gt;="&amp;FStart,tblWater[Month],"&lt;="&amp;FEnd))=0,"",($C$76)/(SUMIFS(tblWater[Intake (m3)],tblWater[Month],"&gt;="&amp;FStart,tblWater[Month],"&lt;="&amp;FEnd))))</f>
        <v>0.0490708522632307</v>
      </c>
      <c r="E76" s="61">
        <f>IF($B$76="","",IF((SUMIFS(tblWater[Production],tblWater[Month],"&gt;="&amp;FStart,tblWater[Month],"&lt;="&amp;FEnd))=0,"",($C$76)/(SUMIFS(tblWater[Production],tblWater[Month],"&gt;="&amp;FStart,tblWater[Month],"&lt;="&amp;FEnd))))</f>
        <v>0.118823356267707</v>
      </c>
      <c r="F76" s="38">
        <f>IF($B$76="","",$C$76*N(KpiCPM3))</f>
        <v>14644.0976522875</v>
      </c>
    </row>
    <row r="78" spans="2:12" ht="26.76" customHeight="1" x14ac:dyDescent="0.25">
      <c r="B78" s="21" t="s">
        <v>154</v>
      </c>
      <c r="C78" s="21"/>
      <c r="D78" s="21"/>
      <c r="E78" s="21"/>
      <c r="F78" s="21"/>
      <c r="G78" s="21"/>
      <c r="H78" s="21"/>
      <c r="I78" s="21"/>
      <c r="J78" s="21"/>
      <c r="K78" s="21"/>
      <c r="L78" s="21"/>
    </row>
    <row r="79" spans="2:12" x14ac:dyDescent="0.25">
      <c r="B79" s="62">
        <f>IF(COUNTA(tblMeters[Meter])&gt;6,"The Setup list has more sub-meters than the Dashboard shows.","")</f>
        <v/>
      </c>
      <c r="C79" s="62"/>
      <c r="D79" s="62"/>
      <c r="E79" s="62"/>
      <c r="F79" s="62"/>
      <c r="G79" s="62"/>
      <c r="H79" s="62"/>
      <c r="I79" s="62"/>
      <c r="J79" s="62"/>
      <c r="K79" s="62"/>
      <c r="L79" s="62"/>
    </row>
  </sheetData>
  <sheetProtection sheet="1" formatColumns="0" formatRows="0"/>
  <mergeCells count="51">
    <mergeCell ref="A1:L1"/>
    <mergeCell ref="B2:J2"/>
    <mergeCell ref="K2:L2"/>
    <mergeCell ref="B4:C4"/>
    <mergeCell ref="D4:E4"/>
    <mergeCell ref="B5:C5"/>
    <mergeCell ref="D5:E5"/>
    <mergeCell ref="G4:H4"/>
    <mergeCell ref="I4:J4"/>
    <mergeCell ref="G5:H5"/>
    <mergeCell ref="I5:J5"/>
    <mergeCell ref="B6:L6"/>
    <mergeCell ref="B8:C8"/>
    <mergeCell ref="B9:C10"/>
    <mergeCell ref="B11:C11"/>
    <mergeCell ref="B12:C12"/>
    <mergeCell ref="D8:F8"/>
    <mergeCell ref="D9:F10"/>
    <mergeCell ref="D11:F11"/>
    <mergeCell ref="D12:F12"/>
    <mergeCell ref="G8:I8"/>
    <mergeCell ref="G9:I10"/>
    <mergeCell ref="G11:I11"/>
    <mergeCell ref="G12:I12"/>
    <mergeCell ref="J8:L8"/>
    <mergeCell ref="J9:L10"/>
    <mergeCell ref="J11:L11"/>
    <mergeCell ref="J12:L12"/>
    <mergeCell ref="B30:C30"/>
    <mergeCell ref="B31:C32"/>
    <mergeCell ref="B33:C33"/>
    <mergeCell ref="B34:C34"/>
    <mergeCell ref="D30:F30"/>
    <mergeCell ref="D31:F32"/>
    <mergeCell ref="D33:F33"/>
    <mergeCell ref="D34:F34"/>
    <mergeCell ref="G30:I30"/>
    <mergeCell ref="G31:I32"/>
    <mergeCell ref="G33:I33"/>
    <mergeCell ref="G34:I34"/>
    <mergeCell ref="J30:L30"/>
    <mergeCell ref="J31:L32"/>
    <mergeCell ref="J33:L33"/>
    <mergeCell ref="J34:L34"/>
    <mergeCell ref="B52:K52"/>
    <mergeCell ref="B68:F68"/>
    <mergeCell ref="H68:L68"/>
    <mergeCell ref="H69:J69"/>
    <mergeCell ref="H70:J70"/>
    <mergeCell ref="B78:L78"/>
    <mergeCell ref="B79:L79"/>
  </mergeCells>
  <conditionalFormatting sqref="D12">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D71:D76">
    <cfRule type="dataBar" priority="47">
      <dataBar>
        <cfvo type="num" val="0"/>
        <cfvo type="max"/>
        <color rgb="FFA8BDF0"/>
      </dataBar>
      <extLst>
        <ext xmlns:x14="http://schemas.microsoft.com/office/spreadsheetml/2009/9/main" uri="{B025F937-C7B1-47D3-B67F-A62EFF666E3E}">
          <x14:id>{DA7ABA51-AAAA-BBBB-0005-000000000001}</x14:id>
        </ext>
      </extLst>
    </cfRule>
  </conditionalFormatting>
  <conditionalFormatting sqref="I55:I66">
    <cfRule type="expression" dxfId="3" priority="41" stopIfTrue="1">
      <formula>AND(ISNUMBER(I55),I55&lt;=(TargetIntensity))</formula>
    </cfRule>
    <cfRule type="expression" dxfId="4" priority="42" stopIfTrue="1">
      <formula>AND(ISNUMBER(I55),I55&lt;=(TargetIntensity)*(1+0.05))</formula>
    </cfRule>
    <cfRule type="expression" dxfId="5" priority="43">
      <formula>ISNUMBER(I55)</formula>
    </cfRule>
  </conditionalFormatting>
  <conditionalFormatting sqref="J3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55:K66">
    <cfRule type="expression" dxfId="3" priority="44" stopIfTrue="1">
      <formula>AND(ISNUMBER(K55),K55&lt;=(UnmeteredLimit))</formula>
    </cfRule>
    <cfRule type="expression" dxfId="4" priority="45" stopIfTrue="1">
      <formula>AND(ISNUMBER(K55),K55&lt;=(UnmeteredLimit)*(1+0.05))</formula>
    </cfRule>
    <cfRule type="expression" dxfId="5" priority="46">
      <formula>ISNUMBER(K55)</formula>
    </cfRule>
  </conditionalFormatting>
  <dataValidations count="1">
    <dataValidation type="date" allowBlank="1" showInputMessage="1" showErrorMessage="1" errorTitle="Check this entry" error="Enter a date between 01 Jan 2000 and 31 Dec 2100." promptTitle="12 months ending" prompt="Any date in the last month to include. Leave blank to end at the latest month. Enter a date between 01 Jan 2000 and 31 Dec 2100." sqref="D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Water Use Tracker&amp;R&amp;8&amp;A</oddHeader>
    <oddFooter>&amp;L&amp;8mfgcalcs.com - free manufacturing templates&amp;R&amp;8Page &amp;P of &amp;N</oddFooter>
  </headerFooter>
  <rowBreaks count="3" manualBreakCount="3">
    <brk id="29" max="16383" man="1"/>
    <brk id="51" max="16383" man="1"/>
    <brk id="67"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5-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D71:D76</xm:sqref>
        </x14:conditionalFormatting>
      </x14:conditionalFormattings>
    </ext>
  </extLst>
</worksheet>
</file>

<file path=xl/worksheets/sheet6.xml><?xml version="1.0" encoding="utf-8"?>
<worksheet xmlns="http://schemas.openxmlformats.org/spreadsheetml/2006/main" xmlns:r="http://schemas.openxmlformats.org/officeDocument/2006/relationships">
  <sheetPr>
    <tabColor rgb="FF6B7280"/>
    <pageSetUpPr fitToPage="1"/>
  </sheetPr>
  <dimension ref="A1:D54"/>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28</v>
      </c>
      <c r="C2" s="2"/>
      <c r="D2" s="3" t="s">
        <v>2</v>
      </c>
    </row>
    <row r="3" spans="1:4" ht="6" customHeight="1"/>
    <row r="4" spans="1:4" ht="21" customHeight="1">
      <c r="B4" s="8" t="s">
        <v>155</v>
      </c>
      <c r="C4" s="8"/>
      <c r="D4" s="8"/>
    </row>
    <row r="5" spans="1:4" ht="5" customHeight="1"/>
    <row r="6" spans="1:4" ht="55.8" customHeight="1">
      <c r="B6" s="10" t="s">
        <v>156</v>
      </c>
      <c r="C6" s="10"/>
      <c r="D6" s="10"/>
    </row>
    <row r="8" spans="1:4" ht="21" customHeight="1">
      <c r="B8" s="8" t="s">
        <v>157</v>
      </c>
      <c r="C8" s="8"/>
      <c r="D8" s="8"/>
    </row>
    <row r="9" spans="1:4" ht="5" customHeight="1"/>
    <row r="10" spans="1:4" ht="20" customHeight="1">
      <c r="B10" s="57" t="s">
        <v>158</v>
      </c>
      <c r="C10" s="57" t="s">
        <v>159</v>
      </c>
      <c r="D10" s="34" t="s">
        <v>160</v>
      </c>
    </row>
    <row r="11" spans="1:4" ht="30.4" customHeight="1">
      <c r="B11" s="63" t="s">
        <v>161</v>
      </c>
      <c r="C11" s="64" t="s">
        <v>162</v>
      </c>
      <c r="D11" s="65" t="s">
        <v>73</v>
      </c>
    </row>
    <row r="12" spans="1:4" ht="17.2" customHeight="1">
      <c r="B12" s="63" t="s">
        <v>163</v>
      </c>
      <c r="C12" s="64" t="s">
        <v>164</v>
      </c>
      <c r="D12" s="65" t="s">
        <v>73</v>
      </c>
    </row>
    <row r="13" spans="1:4" ht="17.2" customHeight="1">
      <c r="B13" s="63" t="s">
        <v>165</v>
      </c>
      <c r="C13" s="64" t="s">
        <v>166</v>
      </c>
      <c r="D13" s="65" t="s">
        <v>73</v>
      </c>
    </row>
    <row r="14" spans="1:4" ht="17.2" customHeight="1">
      <c r="B14" s="63" t="s">
        <v>110</v>
      </c>
      <c r="C14" s="64" t="s">
        <v>167</v>
      </c>
      <c r="D14" s="65" t="s">
        <v>168</v>
      </c>
    </row>
    <row r="15" spans="1:4" ht="30.4" customHeight="1">
      <c r="B15" s="63" t="s">
        <v>111</v>
      </c>
      <c r="C15" s="64" t="s">
        <v>169</v>
      </c>
      <c r="D15" s="65" t="s">
        <v>170</v>
      </c>
    </row>
    <row r="16" spans="1:4" ht="17.2" customHeight="1">
      <c r="B16" s="63" t="s">
        <v>171</v>
      </c>
      <c r="C16" s="64" t="s">
        <v>172</v>
      </c>
      <c r="D16" s="65" t="s">
        <v>168</v>
      </c>
    </row>
    <row r="17" spans="2:4" ht="17.2" customHeight="1">
      <c r="B17" s="63" t="s">
        <v>114</v>
      </c>
      <c r="C17" s="64" t="s">
        <v>173</v>
      </c>
      <c r="D17" s="65" t="s">
        <v>118</v>
      </c>
    </row>
    <row r="18" spans="2:4" ht="30.4" customHeight="1">
      <c r="B18" s="63" t="s">
        <v>174</v>
      </c>
      <c r="C18" s="64" t="s">
        <v>175</v>
      </c>
      <c r="D18" s="65" t="s">
        <v>118</v>
      </c>
    </row>
    <row r="19" spans="2:4" ht="30.4" customHeight="1">
      <c r="B19" s="63" t="s">
        <v>176</v>
      </c>
      <c r="C19" s="64" t="s">
        <v>177</v>
      </c>
      <c r="D19" s="65" t="s">
        <v>168</v>
      </c>
    </row>
    <row r="21" spans="2:4" ht="21" customHeight="1">
      <c r="B21" s="8" t="s">
        <v>178</v>
      </c>
      <c r="C21" s="8"/>
      <c r="D21" s="8"/>
    </row>
    <row r="22" spans="2:4" ht="5" customHeight="1"/>
    <row r="23" spans="2:4" ht="29.4" customHeight="1">
      <c r="B23" s="26" t="s">
        <v>57</v>
      </c>
      <c r="C23" s="10" t="s">
        <v>179</v>
      </c>
      <c r="D23" s="10"/>
    </row>
    <row r="24" spans="2:4" ht="16.2" customHeight="1">
      <c r="B24" s="26" t="s">
        <v>57</v>
      </c>
      <c r="C24" s="10" t="s">
        <v>180</v>
      </c>
      <c r="D24" s="10"/>
    </row>
    <row r="25" spans="2:4" ht="16.2" customHeight="1">
      <c r="B25" s="26" t="s">
        <v>57</v>
      </c>
      <c r="C25" s="10" t="s">
        <v>181</v>
      </c>
      <c r="D25" s="10"/>
    </row>
    <row r="27" spans="2:4" ht="21" customHeight="1">
      <c r="B27" s="8" t="s">
        <v>182</v>
      </c>
      <c r="C27" s="8"/>
      <c r="D27" s="8"/>
    </row>
    <row r="28" spans="2:4" ht="5" customHeight="1"/>
    <row r="29" spans="2:4" ht="16.2" customHeight="1">
      <c r="B29" s="26" t="s">
        <v>57</v>
      </c>
      <c r="C29" s="10" t="s">
        <v>183</v>
      </c>
      <c r="D29" s="10"/>
    </row>
    <row r="30" spans="2:4" ht="16.2" customHeight="1">
      <c r="B30" s="26" t="s">
        <v>57</v>
      </c>
      <c r="C30" s="10" t="s">
        <v>184</v>
      </c>
      <c r="D30" s="10"/>
    </row>
    <row r="31" spans="2:4" ht="29.4" customHeight="1">
      <c r="B31" s="26" t="s">
        <v>57</v>
      </c>
      <c r="C31" s="10" t="s">
        <v>185</v>
      </c>
      <c r="D31" s="10"/>
    </row>
    <row r="33" spans="2:4" ht="21" customHeight="1">
      <c r="B33" s="8" t="s">
        <v>186</v>
      </c>
      <c r="C33" s="8"/>
      <c r="D33" s="8"/>
    </row>
    <row r="34" spans="2:4" ht="5" customHeight="1"/>
    <row r="35" spans="2:4" ht="55.8" customHeight="1">
      <c r="B35" s="10" t="s">
        <v>187</v>
      </c>
      <c r="C35" s="10"/>
      <c r="D35" s="10"/>
    </row>
    <row r="36" spans="2:4">
      <c r="B36" s="24" t="s">
        <v>188</v>
      </c>
      <c r="C36" s="24"/>
      <c r="D36" s="24"/>
    </row>
    <row r="38" spans="2:4" ht="21" customHeight="1">
      <c r="B38" s="8" t="s">
        <v>44</v>
      </c>
      <c r="C38" s="8"/>
      <c r="D38" s="8"/>
    </row>
    <row r="39" spans="2:4" ht="5" customHeight="1"/>
    <row r="40" spans="2:4" ht="42.6" customHeight="1">
      <c r="B40" s="10" t="s">
        <v>189</v>
      </c>
      <c r="C40" s="10"/>
      <c r="D40" s="10"/>
    </row>
    <row r="42" spans="2:4" ht="21" customHeight="1">
      <c r="B42" s="8" t="s">
        <v>190</v>
      </c>
      <c r="C42" s="8"/>
      <c r="D42" s="8"/>
    </row>
    <row r="43" spans="2:4" ht="5" customHeight="1"/>
    <row r="44" spans="2:4" ht="16.2" customHeight="1">
      <c r="B44" s="26" t="s">
        <v>57</v>
      </c>
      <c r="C44" s="10" t="s">
        <v>191</v>
      </c>
      <c r="D44" s="10"/>
    </row>
    <row r="45" spans="2:4" ht="29.4" customHeight="1">
      <c r="B45" s="26" t="s">
        <v>57</v>
      </c>
      <c r="C45" s="10" t="s">
        <v>192</v>
      </c>
      <c r="D45" s="10"/>
    </row>
    <row r="46" spans="2:4" ht="29.4" customHeight="1">
      <c r="B46" s="26" t="s">
        <v>57</v>
      </c>
      <c r="C46" s="10" t="s">
        <v>193</v>
      </c>
      <c r="D46" s="10"/>
    </row>
    <row r="47" spans="2:4">
      <c r="B47" s="21" t="s">
        <v>194</v>
      </c>
      <c r="C47" s="21"/>
      <c r="D47" s="21"/>
    </row>
    <row r="49" spans="2:4" ht="21" customHeight="1">
      <c r="B49" s="8" t="s">
        <v>195</v>
      </c>
      <c r="C49" s="8"/>
      <c r="D49" s="8"/>
    </row>
    <row r="50" spans="2:4" ht="5" customHeight="1"/>
    <row r="51" spans="2:4">
      <c r="B51" s="57" t="s">
        <v>52</v>
      </c>
      <c r="C51" s="57" t="s">
        <v>196</v>
      </c>
      <c r="D51" s="34" t="s">
        <v>197</v>
      </c>
    </row>
    <row r="52" spans="2:4" ht="16.2" customHeight="1">
      <c r="B52" s="66" t="s">
        <v>198</v>
      </c>
      <c r="C52" s="67" t="s">
        <v>199</v>
      </c>
      <c r="D52" s="68" t="s">
        <v>200</v>
      </c>
    </row>
    <row r="54" spans="2:4">
      <c r="B54" s="21" t="s">
        <v>63</v>
      </c>
      <c r="C54" s="21"/>
      <c r="D54" s="21"/>
    </row>
  </sheetData>
  <sheetProtection sheet="1" formatColumns="0" formatRows="0"/>
  <mergeCells count="25">
    <mergeCell ref="A1:D1"/>
    <mergeCell ref="B2:C2"/>
    <mergeCell ref="B4:D4"/>
    <mergeCell ref="B6:D6"/>
    <mergeCell ref="B8:D8"/>
    <mergeCell ref="B21:D21"/>
    <mergeCell ref="C23:D23"/>
    <mergeCell ref="C24:D24"/>
    <mergeCell ref="C25:D25"/>
    <mergeCell ref="B27:D27"/>
    <mergeCell ref="C29:D29"/>
    <mergeCell ref="C30:D30"/>
    <mergeCell ref="C31:D31"/>
    <mergeCell ref="B33:D33"/>
    <mergeCell ref="B35:D35"/>
    <mergeCell ref="B36:D36"/>
    <mergeCell ref="B38:D38"/>
    <mergeCell ref="B40:D40"/>
    <mergeCell ref="B42:D42"/>
    <mergeCell ref="C44:D44"/>
    <mergeCell ref="C45:D45"/>
    <mergeCell ref="C46:D46"/>
    <mergeCell ref="B47:D47"/>
    <mergeCell ref="B49:D49"/>
    <mergeCell ref="B54:D54"/>
  </mergeCells>
  <hyperlinks>
    <hyperlink ref="D2" r:id="rId1" tooltip="Free manufacturing calculators and templates"/>
    <hyperlink ref="B36" r:id="rId2"/>
  </hyperlinks>
  <printOptions horizontalCentered="1"/>
  <pageMargins left="0.4" right="0.4" top="0.7" bottom="0.65" header="0.3" footer="0.3"/>
  <pageSetup fitToHeight="0" orientation="portrait"/>
  <headerFooter>
    <oddHeader>&amp;L&amp;8MFG Calcs - Water Use Tracker&amp;R&amp;8&amp;A</oddHeader>
    <oddFooter>&amp;L&amp;8mfgcalcs.com - free manufacturing templates&amp;R&amp;8Page &amp;P of &amp;N</oddFooter>
  </headerFooter>
  <rowBreaks count="1" manualBreakCount="1">
    <brk id="32" max="16383" man="1"/>
  </rowBreaks>
</worksheet>
</file>

<file path=xl/worksheets/sheet7.xml><?xml version="1.0" encoding="utf-8"?>
<worksheet xmlns="http://schemas.openxmlformats.org/spreadsheetml/2006/main" xmlns:r="http://schemas.openxmlformats.org/officeDocument/2006/relationships">
  <sheetPr>
    <tabColor rgb="FF2C3440"/>
    <pageSetUpPr fitToPage="1"/>
  </sheetPr>
  <dimension ref="A1:V57"/>
  <sheetViews>
    <sheetView showGridLines="0" workbookViewId="0"/>
  </sheetViews>
  <sheetFormatPr defaultRowHeight="15"/>
  <cols>
    <col min="1" max="1" width="2.7109375" customWidth="1"/>
    <col min="2" max="19" width="12.7109375" customWidth="1"/>
    <col min="20" max="20" width="11.7109375" customWidth="1"/>
    <col min="21" max="21" width="26.7109375" customWidth="1"/>
    <col min="22" max="22" width="34.7109375" customWidth="1"/>
  </cols>
  <sheetData>
    <row r="1" spans="1:22" ht="30" customHeight="1">
      <c r="A1" s="1" t="s">
        <v>0</v>
      </c>
      <c r="B1" s="1"/>
      <c r="C1" s="1"/>
      <c r="D1" s="1"/>
      <c r="E1" s="1"/>
      <c r="F1" s="1"/>
      <c r="G1" s="1"/>
      <c r="H1" s="1"/>
      <c r="I1" s="1"/>
      <c r="J1" s="1"/>
      <c r="K1" s="1"/>
      <c r="L1" s="1"/>
      <c r="M1" s="1"/>
      <c r="N1" s="1"/>
      <c r="O1" s="1"/>
      <c r="P1" s="1"/>
      <c r="Q1" s="1"/>
      <c r="R1" s="1"/>
      <c r="S1" s="1"/>
      <c r="T1" s="1"/>
      <c r="U1" s="1"/>
      <c r="V1" s="1"/>
    </row>
    <row r="2" spans="1:22" ht="21" customHeight="1">
      <c r="B2" s="2" t="s">
        <v>30</v>
      </c>
      <c r="C2" s="2"/>
      <c r="D2" s="2"/>
      <c r="E2" s="2"/>
      <c r="F2" s="2"/>
      <c r="G2" s="2"/>
      <c r="H2" s="2"/>
      <c r="I2" s="2"/>
      <c r="J2" s="2"/>
      <c r="K2" s="2"/>
      <c r="L2" s="2"/>
      <c r="M2" s="2"/>
      <c r="N2" s="2"/>
      <c r="O2" s="2"/>
      <c r="P2" s="2"/>
      <c r="Q2" s="2"/>
      <c r="R2" s="2"/>
      <c r="S2" s="2"/>
      <c r="T2" s="2"/>
      <c r="U2" s="2"/>
      <c r="V2" s="3" t="s">
        <v>2</v>
      </c>
    </row>
    <row r="3" spans="1:22" ht="6" customHeight="1"/>
    <row r="4" spans="1:22" ht="30" customHeight="1">
      <c r="B4" s="69" t="s">
        <v>201</v>
      </c>
      <c r="C4" s="69"/>
      <c r="D4" s="22" t="str">
        <f>IF(COUNTIF($K$11:$K$28,"PASS")=18,"PASS","FAIL")</f>
        <v>PASS</v>
      </c>
      <c r="E4" s="22"/>
      <c r="F4" s="23" t="str">
        <f>COUNTIF($K$11:$K$28,"PASS")&amp;" of 18 checks pass"</f>
        <v>18 of 18 checks pass</v>
      </c>
      <c r="G4" s="23"/>
      <c r="H4" s="23"/>
      <c r="I4" s="23"/>
      <c r="J4" s="23"/>
    </row>
    <row r="6" spans="1:22" ht="29.4" customHeight="1">
      <c r="B6" s="10" t="s">
        <v>202</v>
      </c>
      <c r="C6" s="10"/>
      <c r="D6" s="10"/>
      <c r="E6" s="10"/>
      <c r="F6" s="10"/>
      <c r="G6" s="10"/>
      <c r="H6" s="10"/>
      <c r="I6" s="10"/>
      <c r="J6" s="10"/>
      <c r="K6" s="10"/>
      <c r="L6" s="10"/>
    </row>
    <row r="8" spans="1:22" ht="21" customHeight="1">
      <c r="B8" s="8" t="s">
        <v>203</v>
      </c>
      <c r="C8" s="8"/>
      <c r="D8" s="8"/>
      <c r="E8" s="8"/>
      <c r="F8" s="8"/>
      <c r="G8" s="8"/>
      <c r="H8" s="8"/>
      <c r="I8" s="8"/>
      <c r="J8" s="8"/>
      <c r="K8" s="8"/>
      <c r="L8" s="8"/>
    </row>
    <row r="9" spans="1:22" ht="5" customHeight="1"/>
    <row r="10" spans="1:22" ht="30" customHeight="1">
      <c r="B10" s="34" t="s">
        <v>204</v>
      </c>
      <c r="C10" s="57" t="s">
        <v>116</v>
      </c>
      <c r="D10" s="57"/>
      <c r="E10" s="57"/>
      <c r="F10" s="57"/>
      <c r="G10" s="34" t="s">
        <v>205</v>
      </c>
      <c r="H10" s="34" t="s">
        <v>206</v>
      </c>
      <c r="I10" s="34" t="s">
        <v>207</v>
      </c>
      <c r="J10" s="34" t="s">
        <v>208</v>
      </c>
      <c r="K10" s="34" t="s">
        <v>209</v>
      </c>
    </row>
    <row r="11" spans="1:22" ht="16.2" customHeight="1">
      <c r="B11" s="70">
        <v>1</v>
      </c>
      <c r="C11" s="67" t="s">
        <v>210</v>
      </c>
      <c r="D11" s="67"/>
      <c r="E11" s="67"/>
      <c r="F11" s="67"/>
      <c r="G11" s="71">
        <v>0.1515625</v>
      </c>
      <c r="H11" s="40">
        <f>$R$43</f>
        <v>0.1515625</v>
      </c>
      <c r="I11" s="72">
        <f>IF(AND(ISNUMBER($G$11),ISNUMBER($H$11)),ABS($H$11-$G$11),"")</f>
        <v>0</v>
      </c>
      <c r="J11" s="73">
        <v>1E-09</v>
      </c>
      <c r="K11" s="42" t="str">
        <f>IF(AND(ISNUMBER($G$11),ISNUMBER($H$11)),IF(ABS($H$11-$G$11)&lt;=$J$11,"PASS","FAIL"),"FAIL")</f>
        <v>PASS</v>
      </c>
    </row>
    <row r="12" spans="1:22" ht="16.2" customHeight="1">
      <c r="B12" s="70">
        <v>2</v>
      </c>
      <c r="C12" s="67" t="s">
        <v>211</v>
      </c>
      <c r="D12" s="67"/>
      <c r="E12" s="67"/>
      <c r="F12" s="67"/>
      <c r="G12" s="74">
        <v>10500</v>
      </c>
      <c r="H12" s="38">
        <f>$K$44</f>
        <v>10500</v>
      </c>
      <c r="I12" s="72">
        <f>IF(AND(ISNUMBER($G$12),ISNUMBER($H$12)),ABS($H$12-$G$12),"")</f>
        <v>0</v>
      </c>
      <c r="J12" s="73">
        <v>1E-09</v>
      </c>
      <c r="K12" s="42" t="str">
        <f>IF(AND(ISNUMBER($G$12),ISNUMBER($H$12)),IF(ABS($H$12-$G$12)&lt;=$J$12,"PASS","FAIL"),"FAIL")</f>
        <v>PASS</v>
      </c>
    </row>
    <row r="13" spans="1:22" ht="16.2" customHeight="1">
      <c r="B13" s="70">
        <v>3</v>
      </c>
      <c r="C13" s="67" t="s">
        <v>212</v>
      </c>
      <c r="D13" s="67"/>
      <c r="E13" s="67"/>
      <c r="F13" s="67"/>
      <c r="G13" s="74">
        <v>3500</v>
      </c>
      <c r="H13" s="38">
        <f>$N$44</f>
        <v>3500</v>
      </c>
      <c r="I13" s="72">
        <f>IF(AND(ISNUMBER($G$13),ISNUMBER($H$13)),ABS($H$13-$G$13),"")</f>
        <v>0</v>
      </c>
      <c r="J13" s="73">
        <v>1E-09</v>
      </c>
      <c r="K13" s="42" t="str">
        <f>IF(AND(ISNUMBER($G$13),ISNUMBER($H$13)),IF(ABS($H$13-$G$13)&lt;=$J$13,"PASS","FAIL"),"FAIL")</f>
        <v>PASS</v>
      </c>
    </row>
    <row r="14" spans="1:22" ht="16.2" customHeight="1">
      <c r="B14" s="70">
        <v>4</v>
      </c>
      <c r="C14" s="67" t="s">
        <v>213</v>
      </c>
      <c r="D14" s="67"/>
      <c r="E14" s="67"/>
      <c r="F14" s="67"/>
      <c r="G14" s="75">
        <v>2.282608695652174</v>
      </c>
      <c r="H14" s="29">
        <f>$P$44</f>
        <v>2.28260869565217</v>
      </c>
      <c r="I14" s="72">
        <f>IF(AND(ISNUMBER($G$14),ISNUMBER($H$14)),ABS($H$14-$G$14),"")</f>
        <v>0</v>
      </c>
      <c r="J14" s="73">
        <v>1E-09</v>
      </c>
      <c r="K14" s="42" t="str">
        <f>IF(AND(ISNUMBER($G$14),ISNUMBER($H$14)),IF(ABS($H$14-$G$14)&lt;=$J$14,"PASS","FAIL"),"FAIL")</f>
        <v>PASS</v>
      </c>
    </row>
    <row r="15" spans="1:22" ht="16.2" customHeight="1">
      <c r="B15" s="70">
        <v>5</v>
      </c>
      <c r="C15" s="67" t="s">
        <v>214</v>
      </c>
      <c r="D15" s="67"/>
      <c r="E15" s="67"/>
      <c r="F15" s="67"/>
      <c r="G15" s="71">
        <v>2.495238095238095</v>
      </c>
      <c r="H15" s="40">
        <f>$Q$44</f>
        <v>2.4952380952381</v>
      </c>
      <c r="I15" s="72">
        <f>IF(AND(ISNUMBER($G$15),ISNUMBER($H$15)),ABS($H$15-$G$15),"")</f>
        <v>0</v>
      </c>
      <c r="J15" s="73">
        <v>1E-09</v>
      </c>
      <c r="K15" s="42" t="str">
        <f>IF(AND(ISNUMBER($G$15),ISNUMBER($H$15)),IF(ABS($H$15-$G$15)&lt;=$J$15,"PASS","FAIL"),"FAIL")</f>
        <v>PASS</v>
      </c>
    </row>
    <row r="16" spans="1:22" ht="16.2" customHeight="1">
      <c r="B16" s="70">
        <v>6</v>
      </c>
      <c r="C16" s="67" t="s">
        <v>215</v>
      </c>
      <c r="D16" s="67"/>
      <c r="E16" s="67"/>
      <c r="F16" s="67"/>
      <c r="G16" s="76">
        <v>0.125</v>
      </c>
      <c r="H16" s="77">
        <f>$S$44</f>
        <v>0.125</v>
      </c>
      <c r="I16" s="72">
        <f>IF(AND(ISNUMBER($G$16),ISNUMBER($H$16)),ABS($H$16-$G$16),"")</f>
        <v>0</v>
      </c>
      <c r="J16" s="73">
        <v>1E-09</v>
      </c>
      <c r="K16" s="42" t="str">
        <f>IF(AND(ISNUMBER($G$16),ISNUMBER($H$16)),IF(ABS($H$16-$G$16)&lt;=$J$16,"PASS","FAIL"),"FAIL")</f>
        <v>PASS</v>
      </c>
    </row>
    <row r="17" spans="2:12" ht="16.2" customHeight="1">
      <c r="B17" s="70">
        <v>7</v>
      </c>
      <c r="C17" s="67" t="s">
        <v>216</v>
      </c>
      <c r="D17" s="67"/>
      <c r="E17" s="67"/>
      <c r="F17" s="67"/>
      <c r="G17" s="66" t="s">
        <v>217</v>
      </c>
      <c r="H17" s="78" t="str">
        <f>$T$44</f>
        <v>Near target</v>
      </c>
      <c r="I17" s="78"/>
      <c r="J17" s="68" t="s">
        <v>218</v>
      </c>
      <c r="K17" s="42" t="str">
        <f>IF($H$17&amp;""=$G$17&amp;"","PASS","FAIL")</f>
        <v>PASS</v>
      </c>
    </row>
    <row r="18" spans="2:12" ht="16.2" customHeight="1">
      <c r="B18" s="70">
        <v>8</v>
      </c>
      <c r="C18" s="67" t="s">
        <v>219</v>
      </c>
      <c r="D18" s="67"/>
      <c r="E18" s="67"/>
      <c r="F18" s="67"/>
      <c r="G18" s="66" t="s">
        <v>220</v>
      </c>
      <c r="H18" s="78" t="str">
        <f>$T$45</f>
        <v>On target</v>
      </c>
      <c r="I18" s="78"/>
      <c r="J18" s="68" t="s">
        <v>218</v>
      </c>
      <c r="K18" s="42" t="str">
        <f>IF($H$18&amp;""=$G$18&amp;"","PASS","FAIL")</f>
        <v>PASS</v>
      </c>
    </row>
    <row r="19" spans="2:12" ht="16.2" customHeight="1">
      <c r="B19" s="70">
        <v>9</v>
      </c>
      <c r="C19" s="67" t="s">
        <v>221</v>
      </c>
      <c r="D19" s="67"/>
      <c r="E19" s="67"/>
      <c r="F19" s="67"/>
      <c r="G19" s="66" t="s">
        <v>222</v>
      </c>
      <c r="H19" s="78" t="str">
        <f>$U$46</f>
        <v>Discharge &gt; intake: check meters</v>
      </c>
      <c r="I19" s="78"/>
      <c r="J19" s="68" t="s">
        <v>218</v>
      </c>
      <c r="K19" s="42" t="str">
        <f>IF($H$19&amp;""=$G$19&amp;"","PASS","FAIL")</f>
        <v>PASS</v>
      </c>
    </row>
    <row r="20" spans="2:12" ht="16.2" customHeight="1">
      <c r="B20" s="70">
        <v>10</v>
      </c>
      <c r="C20" s="67" t="s">
        <v>223</v>
      </c>
      <c r="D20" s="67"/>
      <c r="E20" s="67"/>
      <c r="F20" s="67"/>
      <c r="G20" s="76">
        <v>0.5714285714285714</v>
      </c>
      <c r="H20" s="77">
        <f>$F$56</f>
        <v>0.571428571428571</v>
      </c>
      <c r="I20" s="72">
        <f>IF(AND(ISNUMBER($G$20),ISNUMBER($H$20)),ABS($H$20-$G$20),"")</f>
        <v>0</v>
      </c>
      <c r="J20" s="73">
        <v>1E-09</v>
      </c>
      <c r="K20" s="42" t="str">
        <f>IF(AND(ISNUMBER($G$20),ISNUMBER($H$20)),IF(ABS($H$20-$G$20)&lt;=$J$20,"PASS","FAIL"),"FAIL")</f>
        <v>PASS</v>
      </c>
    </row>
    <row r="21" spans="2:12" ht="16.2" customHeight="1">
      <c r="B21" s="70">
        <v>11</v>
      </c>
      <c r="C21" s="67" t="s">
        <v>224</v>
      </c>
      <c r="D21" s="67"/>
      <c r="E21" s="67"/>
      <c r="F21" s="67"/>
      <c r="G21" s="74">
        <v>38500</v>
      </c>
      <c r="H21" s="38">
        <f>SUMIFS(tblVerifyWater[Intake (m3)],tblVerifyWater[Month],"&gt;="&amp;$E$36,tblVerifyWater[Month],"&lt;="&amp;$E$37)</f>
        <v>38500</v>
      </c>
      <c r="I21" s="72">
        <f>IF(AND(ISNUMBER($G$21),ISNUMBER($H$21)),ABS($H$21-$G$21),"")</f>
        <v>0</v>
      </c>
      <c r="J21" s="73">
        <v>1E-09</v>
      </c>
      <c r="K21" s="42" t="str">
        <f>IF(AND(ISNUMBER($G$21),ISNUMBER($H$21)),IF(ABS($H$21-$G$21)&lt;=$J$21,"PASS","FAIL"),"FAIL")</f>
        <v>PASS</v>
      </c>
    </row>
    <row r="22" spans="2:12" ht="16.2" customHeight="1">
      <c r="B22" s="70">
        <v>12</v>
      </c>
      <c r="C22" s="67" t="s">
        <v>225</v>
      </c>
      <c r="D22" s="67"/>
      <c r="E22" s="67"/>
      <c r="F22" s="67"/>
      <c r="G22" s="75">
        <v>0.1172350791717418</v>
      </c>
      <c r="H22" s="29">
        <f>IF((SUMIFS(tblVerifyWater[Production],tblVerifyWater[Month],"&gt;="&amp;$E$36,tblVerifyWater[Month],"&lt;="&amp;$E$37))=0,"",(SUMIFS(tblVerifyWater[Intake (m3)],tblVerifyWater[Month],"&gt;="&amp;$E$36,tblVerifyWater[Month],"&lt;="&amp;$E$37))/(SUMIFS(tblVerifyWater[Production],tblVerifyWater[Month],"&gt;="&amp;$E$36,tblVerifyWater[Month],"&lt;="&amp;$E$37)))</f>
        <v>0.117235079171742</v>
      </c>
      <c r="I22" s="72">
        <f>IF(AND(ISNUMBER($G$22),ISNUMBER($H$22)),ABS($H$22-$G$22),"")</f>
        <v>0</v>
      </c>
      <c r="J22" s="73">
        <v>1E-09</v>
      </c>
      <c r="K22" s="42" t="str">
        <f>IF(AND(ISNUMBER($G$22),ISNUMBER($H$22)),IF(ABS($H$22-$G$22)&lt;=$J$22,"PASS","FAIL"),"FAIL")</f>
        <v>PASS</v>
      </c>
    </row>
    <row r="23" spans="2:12" ht="16.2" customHeight="1">
      <c r="B23" s="70">
        <v>13</v>
      </c>
      <c r="C23" s="67" t="s">
        <v>226</v>
      </c>
      <c r="D23" s="67"/>
      <c r="E23" s="67"/>
      <c r="F23" s="67"/>
      <c r="G23" s="71">
        <v>0.3122716199756395</v>
      </c>
      <c r="H23" s="40">
        <f>IF((SUMIFS(tblVerifyWater[Production],tblVerifyWater[Month],"&gt;="&amp;$E$36,tblVerifyWater[Month],"&lt;="&amp;$E$37))=0,"",(SUMIFS(tblVerifyWater[Water cost],tblVerifyWater[Month],"&gt;="&amp;$E$36,tblVerifyWater[Month],"&lt;="&amp;$E$37))/(SUMIFS(tblVerifyWater[Production],tblVerifyWater[Month],"&gt;="&amp;$E$36,tblVerifyWater[Month],"&lt;="&amp;$E$37)))</f>
        <v>0.312271619975639</v>
      </c>
      <c r="I23" s="72">
        <f>IF(AND(ISNUMBER($G$23),ISNUMBER($H$23)),ABS($H$23-$G$23),"")</f>
        <v>0</v>
      </c>
      <c r="J23" s="73">
        <v>1E-09</v>
      </c>
      <c r="K23" s="42" t="str">
        <f>IF(AND(ISNUMBER($G$23),ISNUMBER($H$23)),IF(ABS($H$23-$G$23)&lt;=$J$23,"PASS","FAIL"),"FAIL")</f>
        <v>PASS</v>
      </c>
    </row>
    <row r="24" spans="2:12" ht="16.2" customHeight="1">
      <c r="B24" s="70">
        <v>14</v>
      </c>
      <c r="C24" s="67" t="s">
        <v>227</v>
      </c>
      <c r="D24" s="67"/>
      <c r="E24" s="67"/>
      <c r="F24" s="67"/>
      <c r="G24" s="76">
        <v>0.0375</v>
      </c>
      <c r="H24" s="77">
        <f>IF((SUMIFS(tblVerifyWater[Intake (m3)],tblVerifyWater[Month],"&gt;="&amp;$E$36,tblVerifyWater[Month],"&lt;="&amp;$E$37)+SUMIFS(tblVerifyWater[Recycled (m3)],tblVerifyWater[Month],"&gt;="&amp;$E$36,tblVerifyWater[Month],"&lt;="&amp;$E$37))=0,"",(SUMIFS(tblVerifyWater[Recycled (m3)],tblVerifyWater[Month],"&gt;="&amp;$E$36,tblVerifyWater[Month],"&lt;="&amp;$E$37))/(SUMIFS(tblVerifyWater[Intake (m3)],tblVerifyWater[Month],"&gt;="&amp;$E$36,tblVerifyWater[Month],"&lt;="&amp;$E$37)+SUMIFS(tblVerifyWater[Recycled (m3)],tblVerifyWater[Month],"&gt;="&amp;$E$36,tblVerifyWater[Month],"&lt;="&amp;$E$37)))</f>
        <v>0.0375</v>
      </c>
      <c r="I24" s="72">
        <f>IF(AND(ISNUMBER($G$24),ISNUMBER($H$24)),ABS($H$24-$G$24),"")</f>
        <v>0</v>
      </c>
      <c r="J24" s="73">
        <v>1E-09</v>
      </c>
      <c r="K24" s="42" t="str">
        <f>IF(AND(ISNUMBER($G$24),ISNUMBER($H$24)),IF(ABS($H$24-$G$24)&lt;=$J$24,"PASS","FAIL"),"FAIL")</f>
        <v>PASS</v>
      </c>
    </row>
    <row r="25" spans="2:12" ht="16.2" customHeight="1">
      <c r="B25" s="70">
        <v>15</v>
      </c>
      <c r="C25" s="67" t="s">
        <v>228</v>
      </c>
      <c r="D25" s="67"/>
      <c r="E25" s="67"/>
      <c r="F25" s="67"/>
      <c r="G25" s="76">
        <v>0.7532467532467533</v>
      </c>
      <c r="H25" s="77">
        <f>IF(OR(SUMIFS(tblVerifyWater[Intake (m3)],tblVerifyWater[Month],"&gt;="&amp;$E$36,tblVerifyWater[Month],"&lt;="&amp;$E$37)=0,SUMIFS(tblVerifySubMeters[Volume (m3)],tblVerifySubMeters[Month],"&gt;="&amp;$E$36,tblVerifySubMeters[Month],"&lt;="&amp;$E$37)=0),"",(SUMIFS(tblVerifyWater[Intake (m3)],tblVerifyWater[Month],"&gt;="&amp;$E$36,tblVerifyWater[Month],"&lt;="&amp;$E$37)-SUMIFS(tblVerifySubMeters[Volume (m3)],tblVerifySubMeters[Month],"&gt;="&amp;$E$36,tblVerifySubMeters[Month],"&lt;="&amp;$E$37))/SUMIFS(tblVerifyWater[Intake (m3)],tblVerifyWater[Month],"&gt;="&amp;$E$36,tblVerifyWater[Month],"&lt;="&amp;$E$37))</f>
        <v>0.753246753246753</v>
      </c>
      <c r="I25" s="72">
        <f>IF(AND(ISNUMBER($G$25),ISNUMBER($H$25)),ABS($H$25-$G$25),"")</f>
        <v>0</v>
      </c>
      <c r="J25" s="73">
        <v>1E-09</v>
      </c>
      <c r="K25" s="42" t="str">
        <f>IF(AND(ISNUMBER($G$25),ISNUMBER($H$25)),IF(ABS($H$25-$G$25)&lt;=$J$25,"PASS","FAIL"),"FAIL")</f>
        <v>PASS</v>
      </c>
    </row>
    <row r="26" spans="2:12" ht="16.2" customHeight="1">
      <c r="B26" s="70">
        <v>16</v>
      </c>
      <c r="C26" s="67" t="s">
        <v>229</v>
      </c>
      <c r="D26" s="67"/>
      <c r="E26" s="67"/>
      <c r="F26" s="67"/>
      <c r="G26" s="75">
        <v>0.001</v>
      </c>
      <c r="H26" s="29">
        <f>IF(OR("L"="m3","L"="kL"),1,IF("L"="L",0.001,IF("L"="US gal",0.003785411784,IF("L"="imp gal",0.00454609,""))))</f>
        <v>0.001</v>
      </c>
      <c r="I26" s="72">
        <f>IF(AND(ISNUMBER($G$26),ISNUMBER($H$26)),ABS($H$26-$G$26),"")</f>
        <v>0</v>
      </c>
      <c r="J26" s="73">
        <v>1E-09</v>
      </c>
      <c r="K26" s="42" t="str">
        <f>IF(AND(ISNUMBER($G$26),ISNUMBER($H$26)),IF(ABS($H$26-$G$26)&lt;=$J$26,"PASS","FAIL"),"FAIL")</f>
        <v>PASS</v>
      </c>
    </row>
    <row r="27" spans="2:12" ht="16.2" customHeight="1">
      <c r="B27" s="70">
        <v>17</v>
      </c>
      <c r="C27" s="67" t="s">
        <v>230</v>
      </c>
      <c r="D27" s="67"/>
      <c r="E27" s="67"/>
      <c r="F27" s="67"/>
      <c r="G27" s="75">
        <v>0.003785411784</v>
      </c>
      <c r="H27" s="29">
        <f>IF(OR("US gal"="m3","US gal"="kL"),1,IF("US gal"="L",0.001,IF("US gal"="US gal",0.003785411784,IF("US gal"="imp gal",0.00454609,""))))</f>
        <v>0.003785411784</v>
      </c>
      <c r="I27" s="72">
        <f>IF(AND(ISNUMBER($G$27),ISNUMBER($H$27)),ABS($H$27-$G$27),"")</f>
        <v>0</v>
      </c>
      <c r="J27" s="73">
        <v>1E-09</v>
      </c>
      <c r="K27" s="42" t="str">
        <f>IF(AND(ISNUMBER($G$27),ISNUMBER($H$27)),IF(ABS($H$27-$G$27)&lt;=$J$27,"PASS","FAIL"),"FAIL")</f>
        <v>PASS</v>
      </c>
    </row>
    <row r="28" spans="2:12" ht="16.2" customHeight="1">
      <c r="B28" s="70">
        <v>18</v>
      </c>
      <c r="C28" s="67" t="s">
        <v>231</v>
      </c>
      <c r="D28" s="67"/>
      <c r="E28" s="67"/>
      <c r="F28" s="67"/>
      <c r="G28" s="75">
        <v>0.00454609</v>
      </c>
      <c r="H28" s="29">
        <f>IF(OR("imp gal"="m3","imp gal"="kL"),1,IF("imp gal"="L",0.001,IF("imp gal"="US gal",0.003785411784,IF("imp gal"="imp gal",0.00454609,""))))</f>
        <v>0.00454609</v>
      </c>
      <c r="I28" s="72">
        <f>IF(AND(ISNUMBER($G$28),ISNUMBER($H$28)),ABS($H$28-$G$28),"")</f>
        <v>0</v>
      </c>
      <c r="J28" s="73">
        <v>1E-09</v>
      </c>
      <c r="K28" s="42" t="str">
        <f>IF(AND(ISNUMBER($G$28),ISNUMBER($H$28)),IF(ABS($H$28-$G$28)&lt;=$J$28,"PASS","FAIL"),"FAIL")</f>
        <v>PASS</v>
      </c>
    </row>
    <row r="30" spans="2:12" ht="21" customHeight="1">
      <c r="B30" s="8" t="s">
        <v>232</v>
      </c>
      <c r="C30" s="8"/>
      <c r="D30" s="8"/>
      <c r="E30" s="8"/>
      <c r="F30" s="8"/>
      <c r="G30" s="8"/>
      <c r="H30" s="8"/>
      <c r="I30" s="8"/>
      <c r="J30" s="8"/>
      <c r="K30" s="8"/>
      <c r="L30" s="8"/>
    </row>
    <row r="31" spans="2:12" ht="5" customHeight="1"/>
    <row r="32" spans="2:12">
      <c r="B32" s="21" t="s">
        <v>233</v>
      </c>
      <c r="C32" s="21"/>
      <c r="D32" s="21"/>
      <c r="E32" s="21"/>
      <c r="F32" s="21"/>
      <c r="G32" s="21"/>
      <c r="H32" s="21"/>
      <c r="I32" s="21"/>
      <c r="J32" s="21"/>
      <c r="K32" s="21"/>
      <c r="L32" s="21"/>
    </row>
    <row r="33" spans="2:22">
      <c r="B33" s="32" t="s">
        <v>234</v>
      </c>
      <c r="C33" s="32"/>
      <c r="D33" s="32"/>
      <c r="E33" s="32"/>
      <c r="F33" s="32"/>
    </row>
    <row r="34" spans="2:22">
      <c r="B34" s="27" t="s">
        <v>235</v>
      </c>
      <c r="C34" s="27"/>
      <c r="D34" s="27"/>
      <c r="E34" s="75">
        <v>1</v>
      </c>
      <c r="F34" s="7"/>
    </row>
    <row r="35" spans="2:22">
      <c r="B35" s="27" t="s">
        <v>236</v>
      </c>
      <c r="C35" s="27"/>
      <c r="D35" s="27"/>
      <c r="E35" s="59">
        <v>2.2</v>
      </c>
      <c r="F35" s="7"/>
    </row>
    <row r="36" spans="2:22">
      <c r="B36" s="27" t="s">
        <v>237</v>
      </c>
      <c r="C36" s="27"/>
      <c r="D36" s="27"/>
      <c r="E36" s="79">
        <v>46023</v>
      </c>
      <c r="F36" s="7"/>
    </row>
    <row r="37" spans="2:22">
      <c r="B37" s="27" t="s">
        <v>238</v>
      </c>
      <c r="C37" s="27"/>
      <c r="D37" s="27"/>
      <c r="E37" s="79">
        <v>46357</v>
      </c>
      <c r="F37" s="7"/>
    </row>
    <row r="38" spans="2:22">
      <c r="B38" s="27" t="s">
        <v>239</v>
      </c>
      <c r="C38" s="27"/>
      <c r="D38" s="27"/>
      <c r="E38" s="66" t="s">
        <v>73</v>
      </c>
      <c r="F38" s="66"/>
    </row>
    <row r="40" spans="2:22">
      <c r="B40" s="32" t="s">
        <v>240</v>
      </c>
      <c r="C40" s="32"/>
      <c r="D40" s="32"/>
      <c r="E40" s="32"/>
      <c r="F40" s="32"/>
      <c r="G40" s="32"/>
      <c r="H40" s="32"/>
      <c r="I40" s="32"/>
      <c r="J40" s="32"/>
      <c r="K40" s="32"/>
      <c r="L40" s="32"/>
    </row>
    <row r="41" spans="2:22" ht="14" customHeight="1">
      <c r="B41" s="35"/>
      <c r="C41" s="35" t="str">
        <f>$E$38</f>
        <v>m3</v>
      </c>
      <c r="D41" s="35" t="str">
        <f>$E$38</f>
        <v>m3</v>
      </c>
      <c r="E41" s="35" t="str">
        <f>$E$38</f>
        <v>m3</v>
      </c>
      <c r="F41" s="35" t="str">
        <f>$E$38</f>
        <v>m3</v>
      </c>
      <c r="G41" s="35" t="str">
        <f>$E$38</f>
        <v>m3</v>
      </c>
      <c r="H41" s="35" t="str">
        <f>Currency</f>
        <v>EUR</v>
      </c>
      <c r="I41" s="35" t="str">
        <f>Currency</f>
        <v>EUR</v>
      </c>
      <c r="J41" s="35" t="str">
        <f>OutputUnit</f>
        <v>kL product</v>
      </c>
      <c r="K41" s="35"/>
      <c r="L41" s="35"/>
      <c r="M41" s="35"/>
      <c r="N41" s="35"/>
      <c r="O41" s="35" t="str">
        <f>Currency</f>
        <v>EUR</v>
      </c>
      <c r="P41" s="35" t="str">
        <f>"m3/"&amp;OutputUnit</f>
        <v>m3/kL product</v>
      </c>
      <c r="Q41" s="35" t="str">
        <f>Currency&amp;"/m3"</f>
        <v>EUR/m3</v>
      </c>
      <c r="R41" s="35" t="str">
        <f>Currency&amp;"/"&amp;OutputUnit</f>
        <v>EUR/kL product</v>
      </c>
      <c r="S41" s="35" t="s">
        <v>118</v>
      </c>
      <c r="T41" s="35"/>
      <c r="U41" s="35"/>
      <c r="V41" s="35"/>
    </row>
    <row r="42" spans="2:22" ht="32" customHeight="1">
      <c r="B42" s="34" t="s">
        <v>97</v>
      </c>
      <c r="C42" s="34" t="s">
        <v>98</v>
      </c>
      <c r="D42" s="34" t="s">
        <v>99</v>
      </c>
      <c r="E42" s="34" t="s">
        <v>100</v>
      </c>
      <c r="F42" s="34" t="s">
        <v>101</v>
      </c>
      <c r="G42" s="34" t="s">
        <v>102</v>
      </c>
      <c r="H42" s="34" t="s">
        <v>103</v>
      </c>
      <c r="I42" s="34" t="s">
        <v>104</v>
      </c>
      <c r="J42" s="34" t="s">
        <v>105</v>
      </c>
      <c r="K42" s="34" t="s">
        <v>106</v>
      </c>
      <c r="L42" s="34" t="s">
        <v>107</v>
      </c>
      <c r="M42" s="34" t="s">
        <v>108</v>
      </c>
      <c r="N42" s="34" t="s">
        <v>109</v>
      </c>
      <c r="O42" s="34" t="s">
        <v>110</v>
      </c>
      <c r="P42" s="34" t="s">
        <v>111</v>
      </c>
      <c r="Q42" s="34" t="s">
        <v>112</v>
      </c>
      <c r="R42" s="34" t="s">
        <v>113</v>
      </c>
      <c r="S42" s="34" t="s">
        <v>114</v>
      </c>
      <c r="T42" s="34" t="s">
        <v>115</v>
      </c>
      <c r="U42" s="34" t="s">
        <v>116</v>
      </c>
      <c r="V42" s="34" t="s">
        <v>66</v>
      </c>
    </row>
    <row r="43" spans="2:22">
      <c r="B43" s="79">
        <v>46023</v>
      </c>
      <c r="C43" s="74">
        <v>15000</v>
      </c>
      <c r="D43" s="74">
        <v>5000</v>
      </c>
      <c r="E43" s="74">
        <v>0</v>
      </c>
      <c r="F43" s="74">
        <v>0</v>
      </c>
      <c r="G43" s="74">
        <v>14000</v>
      </c>
      <c r="H43" s="59">
        <v>30000</v>
      </c>
      <c r="I43" s="59">
        <v>18500</v>
      </c>
      <c r="J43" s="74">
        <v>320000</v>
      </c>
      <c r="K43" s="38">
        <f>IF(tblVerifyWater[[#This Row],[Month]]="","",(N(tblVerifyWater[[#This Row],[Mains]])+N(tblVerifyWater[[#This Row],[Groundwater]])+N(tblVerifyWater[[#This Row],[Other intake]]))*$E$34)</f>
        <v>20000</v>
      </c>
      <c r="L43" s="38">
        <f>IF(tblVerifyWater[[#This Row],[Month]]="","",N(tblVerifyWater[[#This Row],[Recycled water]])*$E$34)</f>
        <v>0</v>
      </c>
      <c r="M43" s="38">
        <f>IF(tblVerifyWater[[#This Row],[Month]]="","",N(tblVerifyWater[[#This Row],[Discharge]])*$E$34)</f>
        <v>14000</v>
      </c>
      <c r="N43" s="38">
        <f>IF(tblVerifyWater[[#This Row],[Month]]="","",tblVerifyWater[[#This Row],[Intake (m3)]]-tblVerifyWater[[#This Row],[Discharge (m3)]])</f>
        <v>6000</v>
      </c>
      <c r="O43" s="39">
        <f>IF(tblVerifyWater[[#This Row],[Month]]="","",N(tblVerifyWater[[#This Row],[Supply charges]])+N(tblVerifyWater[[#This Row],[Wastewater charges]]))</f>
        <v>48500</v>
      </c>
      <c r="P43" s="39">
        <f>IF(tblVerifyWater[[#This Row],[Month]]="","",IF(N(tblVerifyWater[[#This Row],[Production]])&gt;0,tblVerifyWater[[#This Row],[Intake (m3)]]/tblVerifyWater[[#This Row],[Production]],""))</f>
        <v>0.0625</v>
      </c>
      <c r="Q43" s="39">
        <f>IF(tblVerifyWater[[#This Row],[Month]]="","",IF(tblVerifyWater[[#This Row],[Intake (m3)]]&gt;0,tblVerifyWater[[#This Row],[Water cost]]/tblVerifyWater[[#This Row],[Intake (m3)]],""))</f>
        <v>2.425</v>
      </c>
      <c r="R43" s="40">
        <f>IF(tblVerifyWater[[#This Row],[Month]]="","",IF(N(tblVerifyWater[[#This Row],[Production]])&gt;0,tblVerifyWater[[#This Row],[Water cost]]/tblVerifyWater[[#This Row],[Production]],""))</f>
        <v>0.1515625</v>
      </c>
      <c r="S43" s="41">
        <f>IF(tblVerifyWater[[#This Row],[Month]]="","",IF(tblVerifyWater[[#This Row],[Intake (m3)]]+tblVerifyWater[[#This Row],[Recycled (m3)]]&gt;0,tblVerifyWater[[#This Row],[Recycled (m3)]]/(tblVerifyWater[[#This Row],[Intake (m3)]]+tblVerifyWater[[#This Row],[Recycled (m3)]]),""))</f>
        <v>0</v>
      </c>
      <c r="T43" s="42" t="str">
        <f>IF(NOT(ISNUMBER(tblVerifyWater[[#This Row],[Intensity]])),"",IF(tblVerifyWater[[#This Row],[Intensity]]&lt;=$E$35,"On target",IF(tblVerifyWater[[#This Row],[Intensity]]&lt;=$E$35*(1+0.05),"Near target","Above target")))</f>
        <v>On target</v>
      </c>
      <c r="U43" s="43" t="str">
        <f>IF(tblVerifyWater[[#This Row],[Month]]="","",IF(tblVerifyWater[[#This Row],[Production]]="","Missing production",IF(DAY(tblVerifyWater[[#This Row],[Month]])&lt;&gt;1,"Use the 1st of the month",IF(COUNTIFS(tblVerifyWater[Month],tblVerifyWater[[#This Row],[Month]])&gt;1,"Duplicate month",IF(tblVerifyWater[[#This Row],[Discharge (m3)]]&gt;tblVerifyWater[[#This Row],[Intake (m3)]],"Discharge &gt; intake: check meters",IF(tblVerifyWater[[#This Row],[Intake (m3)]]=0,"No intake entered","OK"))))))</f>
        <v>OK</v>
      </c>
      <c r="V43" s="66"/>
    </row>
    <row r="44" spans="2:22">
      <c r="B44" s="79">
        <v>46054</v>
      </c>
      <c r="C44" s="74">
        <v>6000</v>
      </c>
      <c r="D44" s="74">
        <v>4000</v>
      </c>
      <c r="E44" s="74">
        <v>500</v>
      </c>
      <c r="F44" s="74">
        <v>1500</v>
      </c>
      <c r="G44" s="74">
        <v>7000</v>
      </c>
      <c r="H44" s="59">
        <v>11500</v>
      </c>
      <c r="I44" s="59">
        <v>14700</v>
      </c>
      <c r="J44" s="74">
        <v>4600</v>
      </c>
      <c r="K44" s="38">
        <f>IF(tblVerifyWater[[#This Row],[Month]]="","",(N(tblVerifyWater[[#This Row],[Mains]])+N(tblVerifyWater[[#This Row],[Groundwater]])+N(tblVerifyWater[[#This Row],[Other intake]]))*$E$34)</f>
        <v>10500</v>
      </c>
      <c r="L44" s="38">
        <f>IF(tblVerifyWater[[#This Row],[Month]]="","",N(tblVerifyWater[[#This Row],[Recycled water]])*$E$34)</f>
        <v>1500</v>
      </c>
      <c r="M44" s="38">
        <f>IF(tblVerifyWater[[#This Row],[Month]]="","",N(tblVerifyWater[[#This Row],[Discharge]])*$E$34)</f>
        <v>7000</v>
      </c>
      <c r="N44" s="38">
        <f>IF(tblVerifyWater[[#This Row],[Month]]="","",tblVerifyWater[[#This Row],[Intake (m3)]]-tblVerifyWater[[#This Row],[Discharge (m3)]])</f>
        <v>3500</v>
      </c>
      <c r="O44" s="39">
        <f>IF(tblVerifyWater[[#This Row],[Month]]="","",N(tblVerifyWater[[#This Row],[Supply charges]])+N(tblVerifyWater[[#This Row],[Wastewater charges]]))</f>
        <v>26200</v>
      </c>
      <c r="P44" s="39">
        <f>IF(tblVerifyWater[[#This Row],[Month]]="","",IF(N(tblVerifyWater[[#This Row],[Production]])&gt;0,tblVerifyWater[[#This Row],[Intake (m3)]]/tblVerifyWater[[#This Row],[Production]],""))</f>
        <v>2.28260869565217</v>
      </c>
      <c r="Q44" s="39">
        <f>IF(tblVerifyWater[[#This Row],[Month]]="","",IF(tblVerifyWater[[#This Row],[Intake (m3)]]&gt;0,tblVerifyWater[[#This Row],[Water cost]]/tblVerifyWater[[#This Row],[Intake (m3)]],""))</f>
        <v>2.4952380952381</v>
      </c>
      <c r="R44" s="40">
        <f>IF(tblVerifyWater[[#This Row],[Month]]="","",IF(N(tblVerifyWater[[#This Row],[Production]])&gt;0,tblVerifyWater[[#This Row],[Water cost]]/tblVerifyWater[[#This Row],[Production]],""))</f>
        <v>5.69565217391304</v>
      </c>
      <c r="S44" s="41">
        <f>IF(tblVerifyWater[[#This Row],[Month]]="","",IF(tblVerifyWater[[#This Row],[Intake (m3)]]+tblVerifyWater[[#This Row],[Recycled (m3)]]&gt;0,tblVerifyWater[[#This Row],[Recycled (m3)]]/(tblVerifyWater[[#This Row],[Intake (m3)]]+tblVerifyWater[[#This Row],[Recycled (m3)]]),""))</f>
        <v>0.125</v>
      </c>
      <c r="T44" s="42" t="str">
        <f>IF(NOT(ISNUMBER(tblVerifyWater[[#This Row],[Intensity]])),"",IF(tblVerifyWater[[#This Row],[Intensity]]&lt;=$E$35,"On target",IF(tblVerifyWater[[#This Row],[Intensity]]&lt;=$E$35*(1+0.05),"Near target","Above target")))</f>
        <v>Near target</v>
      </c>
      <c r="U44" s="43" t="str">
        <f>IF(tblVerifyWater[[#This Row],[Month]]="","",IF(tblVerifyWater[[#This Row],[Production]]="","Missing production",IF(DAY(tblVerifyWater[[#This Row],[Month]])&lt;&gt;1,"Use the 1st of the month",IF(COUNTIFS(tblVerifyWater[Month],tblVerifyWater[[#This Row],[Month]])&gt;1,"Duplicate month",IF(tblVerifyWater[[#This Row],[Discharge (m3)]]&gt;tblVerifyWater[[#This Row],[Intake (m3)]],"Discharge &gt; intake: check meters",IF(tblVerifyWater[[#This Row],[Intake (m3)]]=0,"No intake entered","OK"))))))</f>
        <v>OK</v>
      </c>
      <c r="V44" s="66"/>
    </row>
    <row r="45" spans="2:22">
      <c r="B45" s="79">
        <v>46082</v>
      </c>
      <c r="C45" s="74">
        <v>5000</v>
      </c>
      <c r="D45" s="74">
        <v>0</v>
      </c>
      <c r="E45" s="74">
        <v>0</v>
      </c>
      <c r="F45" s="74">
        <v>0</v>
      </c>
      <c r="G45" s="74">
        <v>3000</v>
      </c>
      <c r="H45" s="59">
        <v>9000</v>
      </c>
      <c r="I45" s="59">
        <v>6000</v>
      </c>
      <c r="J45" s="74">
        <v>2300</v>
      </c>
      <c r="K45" s="38">
        <f>IF(tblVerifyWater[[#This Row],[Month]]="","",(N(tblVerifyWater[[#This Row],[Mains]])+N(tblVerifyWater[[#This Row],[Groundwater]])+N(tblVerifyWater[[#This Row],[Other intake]]))*$E$34)</f>
        <v>5000</v>
      </c>
      <c r="L45" s="38">
        <f>IF(tblVerifyWater[[#This Row],[Month]]="","",N(tblVerifyWater[[#This Row],[Recycled water]])*$E$34)</f>
        <v>0</v>
      </c>
      <c r="M45" s="38">
        <f>IF(tblVerifyWater[[#This Row],[Month]]="","",N(tblVerifyWater[[#This Row],[Discharge]])*$E$34)</f>
        <v>3000</v>
      </c>
      <c r="N45" s="38">
        <f>IF(tblVerifyWater[[#This Row],[Month]]="","",tblVerifyWater[[#This Row],[Intake (m3)]]-tblVerifyWater[[#This Row],[Discharge (m3)]])</f>
        <v>2000</v>
      </c>
      <c r="O45" s="39">
        <f>IF(tblVerifyWater[[#This Row],[Month]]="","",N(tblVerifyWater[[#This Row],[Supply charges]])+N(tblVerifyWater[[#This Row],[Wastewater charges]]))</f>
        <v>15000</v>
      </c>
      <c r="P45" s="39">
        <f>IF(tblVerifyWater[[#This Row],[Month]]="","",IF(N(tblVerifyWater[[#This Row],[Production]])&gt;0,tblVerifyWater[[#This Row],[Intake (m3)]]/tblVerifyWater[[#This Row],[Production]],""))</f>
        <v>2.17391304347826</v>
      </c>
      <c r="Q45" s="39">
        <f>IF(tblVerifyWater[[#This Row],[Month]]="","",IF(tblVerifyWater[[#This Row],[Intake (m3)]]&gt;0,tblVerifyWater[[#This Row],[Water cost]]/tblVerifyWater[[#This Row],[Intake (m3)]],""))</f>
        <v>3</v>
      </c>
      <c r="R45" s="40">
        <f>IF(tblVerifyWater[[#This Row],[Month]]="","",IF(N(tblVerifyWater[[#This Row],[Production]])&gt;0,tblVerifyWater[[#This Row],[Water cost]]/tblVerifyWater[[#This Row],[Production]],""))</f>
        <v>6.52173913043478</v>
      </c>
      <c r="S45" s="41">
        <f>IF(tblVerifyWater[[#This Row],[Month]]="","",IF(tblVerifyWater[[#This Row],[Intake (m3)]]+tblVerifyWater[[#This Row],[Recycled (m3)]]&gt;0,tblVerifyWater[[#This Row],[Recycled (m3)]]/(tblVerifyWater[[#This Row],[Intake (m3)]]+tblVerifyWater[[#This Row],[Recycled (m3)]]),""))</f>
        <v>0</v>
      </c>
      <c r="T45" s="42" t="str">
        <f>IF(NOT(ISNUMBER(tblVerifyWater[[#This Row],[Intensity]])),"",IF(tblVerifyWater[[#This Row],[Intensity]]&lt;=$E$35,"On target",IF(tblVerifyWater[[#This Row],[Intensity]]&lt;=$E$35*(1+0.05),"Near target","Above target")))</f>
        <v>On target</v>
      </c>
      <c r="U45" s="43" t="str">
        <f>IF(tblVerifyWater[[#This Row],[Month]]="","",IF(tblVerifyWater[[#This Row],[Production]]="","Missing production",IF(DAY(tblVerifyWater[[#This Row],[Month]])&lt;&gt;1,"Use the 1st of the month",IF(COUNTIFS(tblVerifyWater[Month],tblVerifyWater[[#This Row],[Month]])&gt;1,"Duplicate month",IF(tblVerifyWater[[#This Row],[Discharge (m3)]]&gt;tblVerifyWater[[#This Row],[Intake (m3)]],"Discharge &gt; intake: check meters",IF(tblVerifyWater[[#This Row],[Intake (m3)]]=0,"No intake entered","OK"))))))</f>
        <v>OK</v>
      </c>
      <c r="V45" s="66"/>
    </row>
    <row r="46" spans="2:22">
      <c r="B46" s="79">
        <v>46113</v>
      </c>
      <c r="C46" s="74">
        <v>3000</v>
      </c>
      <c r="D46" s="74">
        <v>0</v>
      </c>
      <c r="E46" s="74">
        <v>0</v>
      </c>
      <c r="F46" s="74">
        <v>0</v>
      </c>
      <c r="G46" s="74">
        <v>3500</v>
      </c>
      <c r="H46" s="59">
        <v>5500</v>
      </c>
      <c r="I46" s="59">
        <v>7350</v>
      </c>
      <c r="J46" s="74">
        <v>1500</v>
      </c>
      <c r="K46" s="38">
        <f>IF(tblVerifyWater[[#This Row],[Month]]="","",(N(tblVerifyWater[[#This Row],[Mains]])+N(tblVerifyWater[[#This Row],[Groundwater]])+N(tblVerifyWater[[#This Row],[Other intake]]))*$E$34)</f>
        <v>3000</v>
      </c>
      <c r="L46" s="38">
        <f>IF(tblVerifyWater[[#This Row],[Month]]="","",N(tblVerifyWater[[#This Row],[Recycled water]])*$E$34)</f>
        <v>0</v>
      </c>
      <c r="M46" s="38">
        <f>IF(tblVerifyWater[[#This Row],[Month]]="","",N(tblVerifyWater[[#This Row],[Discharge]])*$E$34)</f>
        <v>3500</v>
      </c>
      <c r="N46" s="38">
        <f>IF(tblVerifyWater[[#This Row],[Month]]="","",tblVerifyWater[[#This Row],[Intake (m3)]]-tblVerifyWater[[#This Row],[Discharge (m3)]])</f>
        <v>-500</v>
      </c>
      <c r="O46" s="39">
        <f>IF(tblVerifyWater[[#This Row],[Month]]="","",N(tblVerifyWater[[#This Row],[Supply charges]])+N(tblVerifyWater[[#This Row],[Wastewater charges]]))</f>
        <v>12850</v>
      </c>
      <c r="P46" s="39">
        <f>IF(tblVerifyWater[[#This Row],[Month]]="","",IF(N(tblVerifyWater[[#This Row],[Production]])&gt;0,tblVerifyWater[[#This Row],[Intake (m3)]]/tblVerifyWater[[#This Row],[Production]],""))</f>
        <v>2</v>
      </c>
      <c r="Q46" s="39">
        <f>IF(tblVerifyWater[[#This Row],[Month]]="","",IF(tblVerifyWater[[#This Row],[Intake (m3)]]&gt;0,tblVerifyWater[[#This Row],[Water cost]]/tblVerifyWater[[#This Row],[Intake (m3)]],""))</f>
        <v>4.28333333333333</v>
      </c>
      <c r="R46" s="40">
        <f>IF(tblVerifyWater[[#This Row],[Month]]="","",IF(N(tblVerifyWater[[#This Row],[Production]])&gt;0,tblVerifyWater[[#This Row],[Water cost]]/tblVerifyWater[[#This Row],[Production]],""))</f>
        <v>8.56666666666667</v>
      </c>
      <c r="S46" s="41">
        <f>IF(tblVerifyWater[[#This Row],[Month]]="","",IF(tblVerifyWater[[#This Row],[Intake (m3)]]+tblVerifyWater[[#This Row],[Recycled (m3)]]&gt;0,tblVerifyWater[[#This Row],[Recycled (m3)]]/(tblVerifyWater[[#This Row],[Intake (m3)]]+tblVerifyWater[[#This Row],[Recycled (m3)]]),""))</f>
        <v>0</v>
      </c>
      <c r="T46" s="42" t="str">
        <f>IF(NOT(ISNUMBER(tblVerifyWater[[#This Row],[Intensity]])),"",IF(tblVerifyWater[[#This Row],[Intensity]]&lt;=$E$35,"On target",IF(tblVerifyWater[[#This Row],[Intensity]]&lt;=$E$35*(1+0.05),"Near target","Above target")))</f>
        <v>On target</v>
      </c>
      <c r="U46" s="43" t="str">
        <f>IF(tblVerifyWater[[#This Row],[Month]]="","",IF(tblVerifyWater[[#This Row],[Production]]="","Missing production",IF(DAY(tblVerifyWater[[#This Row],[Month]])&lt;&gt;1,"Use the 1st of the month",IF(COUNTIFS(tblVerifyWater[Month],tblVerifyWater[[#This Row],[Month]])&gt;1,"Duplicate month",IF(tblVerifyWater[[#This Row],[Discharge (m3)]]&gt;tblVerifyWater[[#This Row],[Intake (m3)]],"Discharge &gt; intake: check meters",IF(tblVerifyWater[[#This Row],[Intake (m3)]]=0,"No intake entered","OK"))))))</f>
        <v>Discharge &gt; intake: check meters</v>
      </c>
      <c r="V46" s="66"/>
    </row>
    <row r="48" spans="2:22">
      <c r="B48" s="32" t="s">
        <v>241</v>
      </c>
      <c r="C48" s="32"/>
      <c r="D48" s="32"/>
      <c r="E48" s="32"/>
      <c r="F48" s="32"/>
      <c r="G48" s="32"/>
      <c r="H48" s="32"/>
      <c r="I48" s="32"/>
      <c r="J48" s="32"/>
      <c r="K48" s="32"/>
      <c r="L48" s="32"/>
    </row>
    <row r="49" spans="2:12" ht="20" customHeight="1">
      <c r="B49" s="34" t="s">
        <v>64</v>
      </c>
      <c r="C49" s="34" t="s">
        <v>65</v>
      </c>
      <c r="D49" s="34" t="s">
        <v>66</v>
      </c>
    </row>
    <row r="50" spans="2:12">
      <c r="B50" s="66" t="s">
        <v>242</v>
      </c>
      <c r="C50" s="66" t="s">
        <v>86</v>
      </c>
      <c r="D50" s="66"/>
    </row>
    <row r="51" spans="2:12">
      <c r="B51" s="66" t="s">
        <v>243</v>
      </c>
      <c r="C51" s="66" t="s">
        <v>92</v>
      </c>
      <c r="D51" s="66"/>
    </row>
    <row r="53" spans="2:12">
      <c r="B53" s="32" t="s">
        <v>244</v>
      </c>
      <c r="C53" s="32"/>
      <c r="D53" s="32"/>
      <c r="E53" s="32"/>
      <c r="F53" s="32"/>
      <c r="G53" s="32"/>
      <c r="H53" s="32"/>
      <c r="I53" s="32"/>
      <c r="J53" s="32"/>
      <c r="K53" s="32"/>
      <c r="L53" s="32"/>
    </row>
    <row r="54" spans="2:12" ht="14" customHeight="1">
      <c r="B54" s="35"/>
      <c r="C54" s="35"/>
      <c r="D54" s="35" t="str">
        <f>$E$38</f>
        <v>m3</v>
      </c>
      <c r="E54" s="35"/>
      <c r="F54" s="35"/>
      <c r="G54" s="35"/>
      <c r="H54" s="35"/>
    </row>
    <row r="55" spans="2:12" ht="32" customHeight="1">
      <c r="B55" s="34" t="s">
        <v>97</v>
      </c>
      <c r="C55" s="34" t="s">
        <v>64</v>
      </c>
      <c r="D55" s="34" t="s">
        <v>122</v>
      </c>
      <c r="E55" s="34" t="s">
        <v>123</v>
      </c>
      <c r="F55" s="34" t="s">
        <v>124</v>
      </c>
      <c r="G55" s="34" t="s">
        <v>116</v>
      </c>
      <c r="H55" s="34" t="s">
        <v>66</v>
      </c>
    </row>
    <row r="56" spans="2:12">
      <c r="B56" s="79">
        <v>46054</v>
      </c>
      <c r="C56" s="66" t="s">
        <v>242</v>
      </c>
      <c r="D56" s="74">
        <v>6000</v>
      </c>
      <c r="E56" s="38">
        <f>IF(tblVerifySubMeters[[#This Row],[Month]]="","",N(tblVerifySubMeters[[#This Row],[Volume]])*$E$34)</f>
        <v>6000</v>
      </c>
      <c r="F56" s="41">
        <f>IF(tblVerifySubMeters[[#This Row],[Month]]="","",IFERROR(tblVerifySubMeters[[#This Row],[Volume (m3)]]/INDEX(tblVerifyWater[Intake (m3)],MATCH(tblVerifySubMeters[[#This Row],[Month]],tblVerifyWater[Month],0)),""))</f>
        <v>0.571428571428571</v>
      </c>
      <c r="G56" s="43" t="str">
        <f>IF(tblVerifySubMeters[[#This Row],[Month]]="","",IF(tblVerifySubMeters[[#This Row],[Meter]]="","Missing meter",IF(tblVerifySubMeters[[#This Row],[Volume]]="","Missing volume",IF(COUNTIFS(tblVerifyWater[Month],tblVerifySubMeters[[#This Row],[Month]])=0,"No Monthly Water row",IF(COUNTIFS(tblVerifySubMeters[Month],tblVerifySubMeters[[#This Row],[Month]],tblVerifySubMeters[Meter],tblVerifySubMeters[[#This Row],[Meter]])&gt;1,"Duplicate month and meter",IF(COUNTIFS(tblVerifyMeters[Meter],tblVerifySubMeters[[#This Row],[Meter]])=0,"Meter not on Setup list",IF(SUMIFS(tblVerifySubMeters[Volume (m3)],tblVerifySubMeters[Month],tblVerifySubMeters[[#This Row],[Month]])&gt;SUMIFS(tblVerifyWater[Intake (m3)],tblVerifyWater[Month],tblVerifySubMeters[[#This Row],[Month]]),"Meters add up to more than intake","OK")))))))</f>
        <v>OK</v>
      </c>
      <c r="H56" s="66"/>
    </row>
    <row r="57" spans="2:12">
      <c r="B57" s="79">
        <v>46054</v>
      </c>
      <c r="C57" s="66" t="s">
        <v>243</v>
      </c>
      <c r="D57" s="74">
        <v>3500</v>
      </c>
      <c r="E57" s="38">
        <f>IF(tblVerifySubMeters[[#This Row],[Month]]="","",N(tblVerifySubMeters[[#This Row],[Volume]])*$E$34)</f>
        <v>3500</v>
      </c>
      <c r="F57" s="41">
        <f>IF(tblVerifySubMeters[[#This Row],[Month]]="","",IFERROR(tblVerifySubMeters[[#This Row],[Volume (m3)]]/INDEX(tblVerifyWater[Intake (m3)],MATCH(tblVerifySubMeters[[#This Row],[Month]],tblVerifyWater[Month],0)),""))</f>
        <v>0.333333333333333</v>
      </c>
      <c r="G57" s="43" t="str">
        <f>IF(tblVerifySubMeters[[#This Row],[Month]]="","",IF(tblVerifySubMeters[[#This Row],[Meter]]="","Missing meter",IF(tblVerifySubMeters[[#This Row],[Volume]]="","Missing volume",IF(COUNTIFS(tblVerifyWater[Month],tblVerifySubMeters[[#This Row],[Month]])=0,"No Monthly Water row",IF(COUNTIFS(tblVerifySubMeters[Month],tblVerifySubMeters[[#This Row],[Month]],tblVerifySubMeters[Meter],tblVerifySubMeters[[#This Row],[Meter]])&gt;1,"Duplicate month and meter",IF(COUNTIFS(tblVerifyMeters[Meter],tblVerifySubMeters[[#This Row],[Meter]])=0,"Meter not on Setup list",IF(SUMIFS(tblVerifySubMeters[Volume (m3)],tblVerifySubMeters[Month],tblVerifySubMeters[[#This Row],[Month]])&gt;SUMIFS(tblVerifyWater[Intake (m3)],tblVerifyWater[Month],tblVerifySubMeters[[#This Row],[Month]]),"Meters add up to more than intake","OK")))))))</f>
        <v>OK</v>
      </c>
      <c r="H57" s="66"/>
    </row>
  </sheetData>
  <sheetProtection sheet="1" formatColumns="0" formatRows="0"/>
  <mergeCells count="38">
    <mergeCell ref="A1:V1"/>
    <mergeCell ref="B2:U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B30:L30"/>
    <mergeCell ref="B32:L32"/>
    <mergeCell ref="B33:F33"/>
    <mergeCell ref="B34:D34"/>
    <mergeCell ref="B35:D35"/>
    <mergeCell ref="B36:D36"/>
    <mergeCell ref="B37:D37"/>
    <mergeCell ref="B38:D38"/>
    <mergeCell ref="E38:F38"/>
    <mergeCell ref="B40:L40"/>
    <mergeCell ref="B48:L48"/>
    <mergeCell ref="B53:L53"/>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G56:G57">
    <cfRule type="expression" dxfId="3" priority="43">
      <formula>$G56="OK"</formula>
    </cfRule>
    <cfRule type="expression" dxfId="1" priority="44">
      <formula>AND($G56&lt;&gt;"",$G56&lt;&gt;"OK")</formula>
    </cfRule>
  </conditionalFormatting>
  <conditionalFormatting sqref="K11:K2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U43:U46">
    <cfRule type="expression" dxfId="3" priority="41">
      <formula>$U43="OK"</formula>
    </cfRule>
    <cfRule type="expression" dxfId="1" priority="42">
      <formula>AND($U43&lt;&gt;"",$U43&lt;&gt;"OK")</formula>
    </cfRule>
  </conditionalFormatting>
  <hyperlinks>
    <hyperlink ref="V2" r:id="rId1" tooltip="Free manufacturing calculators and templates"/>
  </hyperlinks>
  <printOptions horizontalCentered="1"/>
  <pageMargins left="0.4" right="0.4" top="0.7" bottom="0.65" header="0.3" footer="0.3"/>
  <pageSetup fitToHeight="0" orientation="landscape"/>
  <headerFooter>
    <oddHeader>&amp;L&amp;8MFG Calcs - Water Use Tracker&amp;R&amp;8&amp;A</oddHeader>
    <oddFooter>&amp;L&amp;8mfgcalcs.com - free manufacturing templates&amp;R&amp;8Page &amp;P of &amp;N</oddFooter>
  </headerFooter>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33</vt:i4>
      </vt:variant>
    </vt:vector>
  </HeadingPairs>
  <TitlesOfParts>
    <vt:vector size="40" baseType="lpstr">
      <vt:lpstr>Start Here</vt:lpstr>
      <vt:lpstr>Setup</vt:lpstr>
      <vt:lpstr>Monthly Water</vt:lpstr>
      <vt:lpstr>Sub-meters</vt:lpstr>
      <vt:lpstr>Dashboard</vt:lpstr>
      <vt:lpstr>Method</vt:lpstr>
      <vt:lpstr>Verify</vt:lpstr>
      <vt:lpstr>Currency</vt:lpstr>
      <vt:lpstr>DashEnd</vt:lpstr>
      <vt:lpstr>KpiCost</vt:lpstr>
      <vt:lpstr>KpiCPM3</vt:lpstr>
      <vt:lpstr>KpiCPU</vt:lpstr>
      <vt:lpstr>KpiDisch</vt:lpstr>
      <vt:lpstr>KpiInt</vt:lpstr>
      <vt:lpstr>KpiIntake</vt:lpstr>
      <vt:lpstr>KpiReuse</vt:lpstr>
      <vt:lpstr>KpiUnmet</vt:lpstr>
      <vt:lpstr>M3PerUnit</vt:lpstr>
      <vt:lpstr>Metered</vt:lpstr>
      <vt:lpstr>MonthsShown</vt:lpstr>
      <vt:lpstr>OutputUnit</vt:lpstr>
      <vt:lpstr>PlantName</vt:lpstr>
      <vt:lpstr>Dashboard!Print_Area</vt:lpstr>
      <vt:lpstr>Method!Print_Area</vt:lpstr>
      <vt:lpstr>'Monthly Water'!Print_Area</vt:lpstr>
      <vt:lpstr>Setup!Print_Area</vt:lpstr>
      <vt:lpstr>'Start Here'!Print_Area</vt:lpstr>
      <vt:lpstr>'Sub-meters'!Print_Area</vt:lpstr>
      <vt:lpstr>Verify!Print_Area</vt:lpstr>
      <vt:lpstr>Method!Print_Titles</vt:lpstr>
      <vt:lpstr>'Monthly Water'!Print_Titles</vt:lpstr>
      <vt:lpstr>'Sub-meters'!Print_Titles</vt:lpstr>
      <vt:lpstr>SelfCheck</vt:lpstr>
      <vt:lpstr>SelfCheckSummary</vt:lpstr>
      <vt:lpstr>ShowFrom</vt:lpstr>
      <vt:lpstr>ShowTo</vt:lpstr>
      <vt:lpstr>TargetIntensity</vt:lpstr>
      <vt:lpstr>Unmetered</vt:lpstr>
      <vt:lpstr>UnmeteredLimit</vt:lpstr>
      <vt:lpstr>VolUnit</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Water Use Tracker - free Excel template from MFG Calcs</dc:title>
  <dc:subject>Log monthly water intake, discharge, charges and sub-meters, and see water per unit of output, cost per unit and leaks.</dc:subject>
  <dc:creator>MFG Calcs</dc:creator>
  <cp:keywords>water use, water intensity, water use ratio, water cost per unit, sub-meter, leak, wastewater, water reuse, CIP</cp:keywords>
  <dc:description>https://www.mfgcalcs.com/templates/water-use-tracker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water-use-tracker</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https://www.mfgcalcs.com/templates/water-use-tracker</vt:lpwstr>
  </property>
  <property fmtid="{D5CDD505-2E9C-101B-9397-08002B2CF9AE}" pid="7" name="Template sheet roles">
    <vt:lpwstr>Start Here=start;Setup=setup;Monthly Water=work;Sub-meters=work;Dashboard=dashboard;Method=method;Verify=verify</vt:lpwstr>
  </property>
</Properties>
</file>