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Weld Estimate" sheetId="3" r:id="rId3"/>
    <sheet name="Dashboard" sheetId="4" r:id="rId4"/>
    <sheet name="Method" sheetId="5" r:id="rId5"/>
    <sheet name="Verify" sheetId="6" r:id="rId6"/>
  </sheets>
  <definedNames>
    <definedName name="ArcMin">'Weld Estimate'!$C$36</definedName>
    <definedName name="BreakList">'Weld Estimate'!$D$54:$H$54</definedName>
    <definedName name="CleanMin">'Weld Estimate'!$C$44</definedName>
    <definedName name="CoName">Setup!$C$6</definedName>
    <definedName name="ConsPP">'Weld Estimate'!$C$38</definedName>
    <definedName name="Currency">Setup!$C$7</definedName>
    <definedName name="Customer">'Weld Estimate'!$C$8</definedName>
    <definedName name="DashBreak">Dashboard!$C$4</definedName>
    <definedName name="DimUnit">'Weld Estimate'!$C$16</definedName>
    <definedName name="FillerDensity">'Weld Estimate'!$C$20</definedName>
    <definedName name="FitUpMin">'Weld Estimate'!$C$42</definedName>
    <definedName name="FixSetupH">'Weld Estimate'!$C$46</definedName>
    <definedName name="FixtureCost">'Weld Estimate'!$C$47</definedName>
    <definedName name="FPY">Setup!$C$14</definedName>
    <definedName name="GasPer">Setup!$C$18</definedName>
    <definedName name="GasUnit">Setup!$C$17</definedName>
    <definedName name="GrooveAngle">'Weld Estimate'!$C$17</definedName>
    <definedName name="HandleMin">'Weld Estimate'!$C$43</definedName>
    <definedName name="InspectPP">'Weld Estimate'!$C$45</definedName>
    <definedName name="KpiArc">Dashboard!$J$8</definedName>
    <definedName name="KpiCost">Dashboard!$D$8</definedName>
    <definedName name="KpiMargin">Dashboard!$G$8</definedName>
    <definedName name="KpiPrice">Dashboard!$B$8</definedName>
    <definedName name="LabourMin">'Weld Estimate'!$C$48</definedName>
    <definedName name="LabourPP">'Weld Estimate'!$C$49</definedName>
    <definedName name="Margin">Setup!$C$13</definedName>
    <definedName name="MassUnit">Setup!$C$16</definedName>
    <definedName name="Overhead">Setup!$C$12</definedName>
    <definedName name="PartDesc">'Weld Estimate'!$C$10</definedName>
    <definedName name="PartNo">'Weld Estimate'!$C$9</definedName>
    <definedName name="PreparedBy">'Weld Estimate'!$C$12</definedName>
    <definedName name="_xlnm.Print_Area" localSheetId="3">Dashboard!$A$1:$L$45</definedName>
    <definedName name="_xlnm.Print_Area" localSheetId="4">Method!$A$1:$D$58</definedName>
    <definedName name="_xlnm.Print_Area" localSheetId="1">Setup!$A$1:$L$29</definedName>
    <definedName name="_xlnm.Print_Area" localSheetId="0">'Start Here'!$A$1:$F$56</definedName>
    <definedName name="_xlnm.Print_Area" localSheetId="5">Verify!$A$1:$O$100</definedName>
    <definedName name="_xlnm.Print_Area" localSheetId="2">'Weld Estimate'!$A$1:$O$66</definedName>
    <definedName name="_xlnm.Print_Titles" localSheetId="4">Method!$1:$2</definedName>
    <definedName name="Processes">tblProcesses[Process]</definedName>
    <definedName name="QuoteDate">'Weld Estimate'!$C$11</definedName>
    <definedName name="Reinforce">'Weld Estimate'!$C$19</definedName>
    <definedName name="RootGap">'Weld Estimate'!$C$18</definedName>
    <definedName name="RoundStep">Setup!$C$15</definedName>
    <definedName name="SelfCheck">Verify!$D$4</definedName>
    <definedName name="SelfCheckSummary">Verify!$F$4</definedName>
    <definedName name="SelIdx">IFERROR(MATCH(DashBreak,'Weld Estimate'!$D$54:$H$54,0),1)</definedName>
    <definedName name="SetupCost">'Weld Estimate'!$C$50</definedName>
    <definedName name="WelderRate">Setup!$C$11</definedName>
    <definedName name="WeldKg">'Weld Estimate'!$C$35</definedName>
    <definedName name="WeldMin">'Weld Estimate'!$C$37</definedName>
  </definedNames>
  <calcPr calcId="124519" fullCalcOnLoad="1"/>
</workbook>
</file>

<file path=xl/sharedStrings.xml><?xml version="1.0" encoding="utf-8"?>
<sst xmlns="http://schemas.openxmlformats.org/spreadsheetml/2006/main" count="504" uniqueCount="284">
  <si>
    <t>Welding Cost Estimator</t>
  </si>
  <si>
    <t>Read this first: what the workbook does and how to use it.</t>
  </si>
  <si>
    <t>mfgcalcs.com</t>
  </si>
  <si>
    <t>Estimate weld metal, arc time, filler, gas and welder labour from a weld list, and price a weldment for five batch quantities.</t>
  </si>
  <si>
    <t>For: Fabrication estimators, welding engineers and owners of fabrication shops pricing welded assemblies.</t>
  </si>
  <si>
    <t>Version 1.0.0  ·  updated 15 October 2026</t>
  </si>
  <si>
    <t>Quick start</t>
  </si>
  <si>
    <t>1.</t>
  </si>
  <si>
    <t>On Setup, type your company name, currency, welder rate, costing defaults and your welding processes with deposition rate, efficiency, operating factor, filler and gas.</t>
  </si>
  <si>
    <t>2.</t>
  </si>
  <si>
    <t>On Weld Estimate, set the dimension unit and groove geometry, then list each weld with its joint type, size, total length and process.</t>
  </si>
  <si>
    <t>3.</t>
  </si>
  <si>
    <t>Enter fit-up, handling and cleaning minutes, inspection per weldment, fixture setup and fixture cost.</t>
  </si>
  <si>
    <t>4.</t>
  </si>
  <si>
    <t>Type five batch quantities and read cost, price per weldment, margin and welder hours.</t>
  </si>
  <si>
    <t>5.</t>
  </si>
  <si>
    <t>On the Dashboard, pick a quantity to see the tiles, the two charts and where the cost goes.</t>
  </si>
  <si>
    <t>What is in this workbook</t>
  </si>
  <si>
    <t>Start Here</t>
  </si>
  <si>
    <t>Setup</t>
  </si>
  <si>
    <t>Your company, currency, welder rate, costing defaults and welding process data.</t>
  </si>
  <si>
    <t>Weld Estimate</t>
  </si>
  <si>
    <t>The weldment, its weld list, other welder time, inspection and fixture, and cost and price for five batch sizes.</t>
  </si>
  <si>
    <t>Dashboard</t>
  </si>
  <si>
    <t>Price, cost and margin per weldment at the batch you pick, and where the welding cost goes.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</si>
  <si>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</si>
  <si>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</si>
  <si>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</si>
  <si>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</si>
  <si>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</si>
  <si>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</si>
  <si>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</si>
  <si>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</si>
  <si>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</si>
  <si>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</si>
  <si>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</si>
  <si>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</si>
  <si>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</si>
  <si>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</si>
  <si>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</si>
  <si>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</si>
  <si>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</si>
  <si>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</si>
  <si>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</si>
  <si>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</si>
  <si>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Welding Cost per Part Calculator on mfgcalcs.com</t>
  </si>
  <si>
    <t>Latest version</t>
  </si>
  <si>
    <t>mfgcalcs.com/templates/welding-cost-estimator</t>
  </si>
  <si>
    <t>More free templates</t>
  </si>
  <si>
    <t>mfgcalcs.com/templates</t>
  </si>
  <si>
    <t>Version</t>
  </si>
  <si>
    <t>1.0.0 (updated 15 October 2026)</t>
  </si>
  <si>
    <t>About the example data</t>
  </si>
  <si>
    <t>Every number already in this workbook is example data for Ridgeline Steel Fabricators, a fictional business invented for this template, so the dashboard and charts show something meaningful on day one. The example costs a welded steel machine base frame with six weld groups for a fictional customer; process data, prices and rates are example values, not recommendations.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</si>
  <si>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</si>
  <si>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</si>
  <si>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</si>
  <si>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</si>
  <si>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</si>
  <si>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</si>
  <si>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</si>
  <si>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</si>
  <si>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Process</t>
  </si>
  <si>
    <t>Deposition rate</t>
  </si>
  <si>
    <t>Efficiency</t>
  </si>
  <si>
    <t>Operating factor</t>
  </si>
  <si>
    <t>Filler price</t>
  </si>
  <si>
    <t>Gas flow</t>
  </si>
  <si>
    <t>Gas price</t>
  </si>
  <si>
    <t>Arc min per kg</t>
  </si>
  <si>
    <t>Consumables per kg</t>
  </si>
  <si>
    <t>Company and currency</t>
  </si>
  <si>
    <t>Company name</t>
  </si>
  <si>
    <t>Ridgeline Steel Fabricators (example)</t>
  </si>
  <si>
    <t>Currency label</t>
  </si>
  <si>
    <t>USD</t>
  </si>
  <si>
    <t>Costing defaults</t>
  </si>
  <si>
    <t>Welder labour rate</t>
  </si>
  <si>
    <t>Overhead on welder time and setup</t>
  </si>
  <si>
    <t>Target margin on price</t>
  </si>
  <si>
    <t>First-pass acceptance</t>
  </si>
  <si>
    <t>Round prices up to the nearest</t>
  </si>
  <si>
    <t>Deposition rate and filler price per</t>
  </si>
  <si>
    <t>kg</t>
  </si>
  <si>
    <t>Gas flow in</t>
  </si>
  <si>
    <t>L/min</t>
  </si>
  <si>
    <t>Gas price per</t>
  </si>
  <si>
    <t>Welding processes (example values; use your procedure records and supplier data)</t>
  </si>
  <si>
    <t>Welding processes</t>
  </si>
  <si>
    <t>min/kg</t>
  </si>
  <si>
    <t>GMAW solid wire</t>
  </si>
  <si>
    <t>FCAW gas-shielded</t>
  </si>
  <si>
    <t>SMAW stick</t>
  </si>
  <si>
    <t>GTAW manual</t>
  </si>
  <si>
    <t>SAW single wire</t>
  </si>
  <si>
    <t>Weld</t>
  </si>
  <si>
    <t>Joint</t>
  </si>
  <si>
    <t>Size</t>
  </si>
  <si>
    <t>Length</t>
  </si>
  <si>
    <t>Area (mm2)</t>
  </si>
  <si>
    <t>Weld metal (kg)</t>
  </si>
  <si>
    <t>Op factor</t>
  </si>
  <si>
    <t>Cons per kg</t>
  </si>
  <si>
    <t>Arc time (min)</t>
  </si>
  <si>
    <t>Welder time (min)</t>
  </si>
  <si>
    <t>Cost</t>
  </si>
  <si>
    <t>Check</t>
  </si>
  <si>
    <t>Example for Ridgeline Steel Fabricators (fictional). Overwrite the yellow cells with your weldment; edit or delete the example weld rows. Blue cells calculate. The Dashboard fills from here.</t>
  </si>
  <si>
    <t>Weldment and quote</t>
  </si>
  <si>
    <t>Customer</t>
  </si>
  <si>
    <t>Okafor Packaging Machines (example)</t>
  </si>
  <si>
    <t>Weldment number</t>
  </si>
  <si>
    <t>OPM-BF-1120</t>
  </si>
  <si>
    <t>Description</t>
  </si>
  <si>
    <t>Machine base frame, structural steel, painted by customer</t>
  </si>
  <si>
    <t>Date</t>
  </si>
  <si>
    <t>Prepared by</t>
  </si>
  <si>
    <t>Estimating</t>
  </si>
  <si>
    <t>Weld geometry</t>
  </si>
  <si>
    <t>Weld sizes and lengths in</t>
  </si>
  <si>
    <t>mm</t>
  </si>
  <si>
    <t>V-butt included angle</t>
  </si>
  <si>
    <t>degrees</t>
  </si>
  <si>
    <t>V-butt root gap</t>
  </si>
  <si>
    <t>Excess weld metal (reinforcement, convexity)</t>
  </si>
  <si>
    <t>Weld metal density</t>
  </si>
  <si>
    <t>g/cm3</t>
  </si>
  <si>
    <t>Weld list (one row per weld or group of identical welds)</t>
  </si>
  <si>
    <t>Fillet: size = leg length, area = leg^2 / 2. Single-V butt: size = plate thickness, area = t^2 x tan(angle / 2) + gap x t. Both x (1 + excess weld metal). Length is the total weld length of the row on one weldment.</t>
  </si>
  <si>
    <t>Legs to base plates</t>
  </si>
  <si>
    <t>Fillet</t>
  </si>
  <si>
    <t>Frame corner butts</t>
  </si>
  <si>
    <t>Single-V butt</t>
  </si>
  <si>
    <t>Cross members</t>
  </si>
  <si>
    <t>Gussets</t>
  </si>
  <si>
    <t>Lifting lugs</t>
  </si>
  <si>
    <t>Sensor bracket</t>
  </si>
  <si>
    <t>Weld list totals</t>
  </si>
  <si>
    <t>Weld metal per weldment</t>
  </si>
  <si>
    <t>Arc time per weldment</t>
  </si>
  <si>
    <t>min</t>
  </si>
  <si>
    <t>Welder time on the welds</t>
  </si>
  <si>
    <t>Filler and gas per weldment processed</t>
  </si>
  <si>
    <t>Other welder time, inspection and fixture</t>
  </si>
  <si>
    <t>Fit-up and tack, per weldment</t>
  </si>
  <si>
    <t>Handling, turning and positioning</t>
  </si>
  <si>
    <t>Cleaning, grinding and spatter removal</t>
  </si>
  <si>
    <t>Inspection per weldment (visual, NDT)</t>
  </si>
  <si>
    <t>Fixture setup per batch</t>
  </si>
  <si>
    <t>h</t>
  </si>
  <si>
    <t>Fixture or jig (one-off, spread over the batch)</t>
  </si>
  <si>
    <t>Welder time per weldment, all work</t>
  </si>
  <si>
    <t>Welder cost per weldment processed</t>
  </si>
  <si>
    <t>Fixture setup cost per batch</t>
  </si>
  <si>
    <t>Cost and price by batch quantity</t>
  </si>
  <si>
    <t>Batch (accepted weldments)</t>
  </si>
  <si>
    <t>Unit</t>
  </si>
  <si>
    <t>Weldments to process</t>
  </si>
  <si>
    <t>weldments</t>
  </si>
  <si>
    <t>Filler and gas</t>
  </si>
  <si>
    <t>Welder time</t>
  </si>
  <si>
    <t>Inspection</t>
  </si>
  <si>
    <t>Fixture setup, spread over the batch</t>
  </si>
  <si>
    <t>Fixture or jig, spread over the batch</t>
  </si>
  <si>
    <t>Overhead</t>
  </si>
  <si>
    <t>Total cost per weldment</t>
  </si>
  <si>
    <t>Price per weldment</t>
  </si>
  <si>
    <t>Batch value</t>
  </si>
  <si>
    <t>Margin achieved</t>
  </si>
  <si>
    <t>% of price</t>
  </si>
  <si>
    <t>Welder hours</t>
  </si>
  <si>
    <t>Batch shown</t>
  </si>
  <si>
    <t>MARGIN ACHIEVED</t>
  </si>
  <si>
    <t>ARC TIME PER WELDMENT (MIN)</t>
  </si>
  <si>
    <t>Rounded up to your price step</t>
  </si>
  <si>
    <t>All lines, before margin</t>
  </si>
  <si>
    <t>Cost build-up at the batch shown</t>
  </si>
  <si>
    <t>Cost line</t>
  </si>
  <si>
    <t>Per weldment</t>
  </si>
  <si>
    <t>Share of cost</t>
  </si>
  <si>
    <t>For the batch</t>
  </si>
  <si>
    <t>%</t>
  </si>
  <si>
    <t>Fixture setup</t>
  </si>
  <si>
    <t>Fixture or jig</t>
  </si>
  <si>
    <t>Chart data: cost per weldment by group</t>
  </si>
  <si>
    <t>Batch</t>
  </si>
  <si>
    <t>Welder time and overhead</t>
  </si>
  <si>
    <t>Fixture setup and jig</t>
  </si>
  <si>
    <t>What this workbook calculates</t>
  </si>
  <si>
    <t>Each weld's cross-section and length give the weld metal it needs. The process's deposition rate turns weld metal into arc time, its operating factor into welder time, and its deposition efficiency, filler price and gas flow into consumables cost. Fit-up, handling, cleaning, inspection, fixture setup and the jig are added per weldment or per batch, and rejected weldments are paid for through first-pass acceptance. The price is the cost marked up to the target margin on price and rounded up to your price step.</t>
  </si>
  <si>
    <t>Calculations</t>
  </si>
  <si>
    <t>Quantity</t>
  </si>
  <si>
    <t>How it is calculated</t>
  </si>
  <si>
    <t>Units</t>
  </si>
  <si>
    <t>Weld cross-section</t>
  </si>
  <si>
    <t>Fillet: leg^2 / 2. Single-V butt: t^2 x tan(angle / 2) + root gap x t. Then x (1 + excess weld metal). Sizes in mm (in x 25.4).</t>
  </si>
  <si>
    <t>mm2</t>
  </si>
  <si>
    <t>Weld metal</t>
  </si>
  <si>
    <t>Area x length (mm) x density / 1,000,000.</t>
  </si>
  <si>
    <t>kg/weldment</t>
  </si>
  <si>
    <t>Process rates</t>
  </si>
  <si>
    <t>Arc minutes per kg = 60 / deposition rate (lb/h x 0.45359237). Consumables per kg deposited = filler price per kg / efficiency + gas L/min x arc minutes per kg x gas price per L (m3 = 1000 L, ft3 = 28.316846592 L, ft3/h / 60 = per min).</t>
  </si>
  <si>
    <t>min/kg, currency/kg</t>
  </si>
  <si>
    <t>Arc and welder time</t>
  </si>
  <si>
    <t>Arc time = weld metal x arc minutes per kg; welder time = arc time / operating factor.</t>
  </si>
  <si>
    <t>Weld cost</t>
  </si>
  <si>
    <t>Weld metal x consumables per kg + welder time / 60 x welder rate.</t>
  </si>
  <si>
    <t>currency/weldment</t>
  </si>
  <si>
    <t>Welder time, all work</t>
  </si>
  <si>
    <t>Welder time on the welds + fit-up and tack + handling + cleaning.</t>
  </si>
  <si>
    <t>min/weldment</t>
  </si>
  <si>
    <t>CEILING(batch / first-pass acceptance).</t>
  </si>
  <si>
    <t>Variable lines</t>
  </si>
  <si>
    <t>Filler and gas, welder cost and inspection per weldment, each x weldments to process / batch.</t>
  </si>
  <si>
    <t>Fixed lines</t>
  </si>
  <si>
    <t>Fixture setup hours x welder rate / batch; fixture or jig cost / batch. Overhead = (welder time + setup per weldment) x overhead %.</t>
  </si>
  <si>
    <t>CEILING(total cost / (1 - target margin), price step). Margin achieved = (price - cost) / price.</t>
  </si>
  <si>
    <t>Fixture setup hours + weldments to process x welder minutes per weldment / 60.</t>
  </si>
  <si>
    <t>Assumptions</t>
  </si>
  <si>
    <t>Weld cross-sections are the theoretical shapes plus a flat excess allowance; actual size depends on your welding procedure.</t>
  </si>
  <si>
    <t>Deposition rate, efficiency and operating factor are your shop's values for the process at its usual parameters; the example values are illustrative.</t>
  </si>
  <si>
    <t>Gas flows only while the arc is on; pre-flow, post-flow and purge are inside the flow you enter.</t>
  </si>
  <si>
    <t>Rejected weldments are found after welding and remade, using consumables, welder time and inspection again.</t>
  </si>
  <si>
    <t>Limitations</t>
  </si>
  <si>
    <t>Base metal, cutting and forming are not costed here: add them from the Sheet Metal Part Cost Estimator or your BOM.</t>
  </si>
  <si>
    <t>Double-V, bevel, J and U preparations, plug and seam welds are not built in; enter an equivalent fillet size or V-butt thickness, or add the area by hand.</t>
  </si>
  <si>
    <t>Electricity, wire liners, tips and grinding discs are not separate lines; include them in the welder rate or consumables price.</t>
  </si>
  <si>
    <t>No taxes, duties, freight, currency conversion or payment discounts are calculated.</t>
  </si>
  <si>
    <t>Agreement with the live calculator</t>
  </si>
  <si>
    <t>The live Welding Cost per Part calculator takes weldments processed and accepted, consumables per processed weldment, fixed setup and tooling, and loaded production labour, and returns (processed x consumables + setup + labour) / accepted. This workbook builds the same three inputs from the weld list: consumables = filler, gas and inspection per weldment; setup and tooling = fixture setup with its overhead plus the jig; labour = weldments processed x welder cost with overhead. The build checks the calculator's own example (100 processed, 98 accepted, 4.50, 180, 1,200: 18.67 per accepted weldment) and the example batch of 25 against its engine. Weld geometry, arc time and the price are this template's own.</t>
  </si>
  <si>
    <t>Open the Welding Cost per Part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</si>
  <si>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</si>
  <si>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</si>
  <si>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Weld cost practice: weld metal from joint geometry, arc time from deposition rate, welder time from operating factor, filler from deposition efficiency (as taught in welding engineering texts and filler suppliers' cost guides).</t>
  </si>
  <si>
    <t>Unit conversions: 1 lb = 0.45359237 kg, 1 in = 25.4 mm and 1 ft3 = 28.316846592 L exactly.</t>
  </si>
  <si>
    <t>MFG Calcs Welding Cost per Part calculator (welding-cost-per-part): the batch cost model the build-up decomposes into.</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</si>
  <si>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</si>
  <si>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</si>
  <si>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</si>
  <si>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</si>
  <si>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</si>
  <si>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</si>
  <si>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</si>
  <si>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</si>
  <si>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</si>
  <si>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</si>
  <si>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</si>
  <si>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</si>
  <si>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</si>
  <si>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</si>
  <si>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</si>
  <si>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GMAW: arc minutes per kg</t>
  </si>
  <si>
    <t>GMAW: consumables per kg deposited</t>
  </si>
  <si>
    <t>SMAW (no gas): consumables per kg</t>
  </si>
  <si>
    <t>Fillet 6 mm: area (mm2)</t>
  </si>
  <si>
    <t>V-butt 10 mm: area (mm2)</t>
  </si>
  <si>
    <t>V-butt row: weld metal (kg)</t>
  </si>
  <si>
    <t>V-butt row: welder time (min)</t>
  </si>
  <si>
    <t>V-butt row: cost</t>
  </si>
  <si>
    <t>Test row: Check asks for a length</t>
  </si>
  <si>
    <t>Enter a weld length</t>
  </si>
  <si>
    <t>exact</t>
  </si>
  <si>
    <t>Welder time per weldment, all work (min)</t>
  </si>
  <si>
    <t>Batch 5: total cost per weldment</t>
  </si>
  <si>
    <t>Batch 5: price per weldment</t>
  </si>
  <si>
    <t>Batch 5: welder hours</t>
  </si>
  <si>
    <t>Batch 25: total cost per weldment</t>
  </si>
  <si>
    <t>Batch 25: price per weldment</t>
  </si>
  <si>
    <t>Batch 25: welder hours</t>
  </si>
  <si>
    <t>Batch 100: total cost per weldment</t>
  </si>
  <si>
    <t>Batch 100: price per weldment</t>
  </si>
  <si>
    <t>Batch 100: welder hours</t>
  </si>
  <si>
    <t>Fixed test inputs</t>
  </si>
  <si>
    <t>White cells are fixed test inputs; blue cells are the workbook's formulas evaluated on them.</t>
  </si>
  <si>
    <t>Parameters</t>
  </si>
  <si>
    <t>Price rounding step</t>
  </si>
  <si>
    <t>Deposition and filler per</t>
  </si>
  <si>
    <t>Test table: Processes</t>
  </si>
  <si>
    <t>Test table: Welds</t>
  </si>
  <si>
    <t>Test: no length</t>
  </si>
  <si>
    <t>Test weld geometry</t>
  </si>
  <si>
    <t>Test weld list totals</t>
  </si>
  <si>
    <t>Test other work, inspection and fixture</t>
  </si>
  <si>
    <t>Test cost and price by batch (same formulas as the Weld Estimate)</t>
  </si>
</sst>
</file>

<file path=xl/styles.xml><?xml version="1.0" encoding="utf-8"?>
<styleSheet xmlns="http://schemas.openxmlformats.org/spreadsheetml/2006/main">
  <numFmts count="11">
    <numFmt numFmtId="164" formatCode="#,##0.00"/>
    <numFmt numFmtId="165" formatCode="0.0%"/>
    <numFmt numFmtId="166" formatCode="#,##0.0"/>
    <numFmt numFmtId="167" formatCode="#,##0.0000"/>
    <numFmt numFmtId="168" formatCode="d mmm yyyy"/>
    <numFmt numFmtId="169" formatCode="#,##0"/>
    <numFmt numFmtId="170" formatCode="#,##0.000"/>
    <numFmt numFmtId="171" formatCode="0%"/>
    <numFmt numFmtId="172" formatCode="&quot;Target &quot;0.0%"/>
    <numFmt numFmtId="173" formatCode="0.0000"/>
    <numFmt numFmtId="174"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C7D4EE"/>
      </left>
      <right style="thin">
        <color rgb="FFC7D4EE"/>
      </right>
      <top style="medium">
        <color rgb="FF14386C"/>
      </top>
      <bottom style="thin">
        <color rgb="FFC7D4EE"/>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2">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0" fillId="4" borderId="3" xfId="0" applyFont="1" applyFill="1" applyBorder="1" applyAlignment="1">
      <alignment vertical="center"/>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6"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20"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8" fontId="10" fillId="3" borderId="2" xfId="0" applyNumberFormat="1" applyFont="1" applyFill="1" applyBorder="1" applyAlignment="1" applyProtection="1">
      <alignment horizontal="left" vertical="center"/>
      <protection locked="0"/>
    </xf>
    <xf numFmtId="169"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171" fontId="10" fillId="4" borderId="3" xfId="0" applyNumberFormat="1" applyFont="1" applyFill="1" applyBorder="1" applyAlignment="1">
      <alignment vertical="center"/>
    </xf>
    <xf numFmtId="0" fontId="21" fillId="4" borderId="3" xfId="0" applyFont="1" applyFill="1" applyBorder="1" applyAlignment="1">
      <alignment vertical="center"/>
    </xf>
    <xf numFmtId="166" fontId="9" fillId="4" borderId="3" xfId="0" applyNumberFormat="1" applyFont="1" applyFill="1" applyBorder="1" applyAlignment="1">
      <alignment vertical="center"/>
    </xf>
    <xf numFmtId="0" fontId="19" fillId="2" borderId="5" xfId="0" applyFont="1" applyFill="1" applyBorder="1" applyAlignment="1">
      <alignment horizontal="left" vertical="center" wrapText="1"/>
    </xf>
    <xf numFmtId="169" fontId="10" fillId="3" borderId="2" xfId="0" applyNumberFormat="1" applyFont="1" applyFill="1" applyBorder="1" applyAlignment="1" applyProtection="1">
      <alignment horizontal="center" vertical="center"/>
      <protection locked="0"/>
    </xf>
    <xf numFmtId="169" fontId="10" fillId="4" borderId="3" xfId="0" applyNumberFormat="1" applyFont="1" applyFill="1" applyBorder="1" applyAlignment="1">
      <alignment vertical="center"/>
    </xf>
    <xf numFmtId="164" fontId="9" fillId="4" borderId="6" xfId="0" applyNumberFormat="1" applyFont="1" applyFill="1" applyBorder="1" applyAlignment="1">
      <alignment vertical="center"/>
    </xf>
    <xf numFmtId="164" fontId="15" fillId="4" borderId="3" xfId="0" applyNumberFormat="1" applyFont="1" applyFill="1" applyBorder="1" applyAlignment="1">
      <alignment horizontal="center" vertical="center"/>
    </xf>
    <xf numFmtId="165" fontId="10" fillId="4" borderId="3" xfId="0" applyNumberFormat="1" applyFont="1" applyFill="1" applyBorder="1" applyAlignment="1">
      <alignment vertical="center"/>
    </xf>
    <xf numFmtId="0" fontId="18" fillId="0" borderId="0" xfId="0" applyFont="1" applyAlignment="1">
      <alignment vertical="center"/>
    </xf>
    <xf numFmtId="0" fontId="22" fillId="9" borderId="7" xfId="0" applyFont="1" applyFill="1" applyBorder="1" applyAlignment="1">
      <alignment vertical="center" wrapText="1"/>
    </xf>
    <xf numFmtId="164" fontId="4" fillId="9" borderId="8" xfId="0" applyNumberFormat="1" applyFont="1" applyFill="1" applyBorder="1" applyAlignment="1">
      <alignment horizontal="left" vertical="center"/>
    </xf>
    <xf numFmtId="165" fontId="4" fillId="9" borderId="8" xfId="0" applyNumberFormat="1" applyFont="1" applyFill="1" applyBorder="1" applyAlignment="1">
      <alignment horizontal="left" vertical="center"/>
    </xf>
    <xf numFmtId="166" fontId="4" fillId="9" borderId="8" xfId="0" applyNumberFormat="1" applyFont="1" applyFill="1" applyBorder="1" applyAlignment="1">
      <alignment horizontal="left" vertical="center"/>
    </xf>
    <xf numFmtId="0" fontId="23" fillId="9" borderId="8" xfId="0" applyFont="1" applyFill="1" applyBorder="1" applyAlignment="1">
      <alignment vertical="center"/>
    </xf>
    <xf numFmtId="172" fontId="23" fillId="9" borderId="8" xfId="0" applyNumberFormat="1" applyFont="1" applyFill="1" applyBorder="1" applyAlignment="1">
      <alignment horizontal="left" vertical="center"/>
    </xf>
    <xf numFmtId="0" fontId="22" fillId="9" borderId="9" xfId="0" applyFont="1" applyFill="1" applyBorder="1" applyAlignment="1">
      <alignment vertical="center"/>
    </xf>
    <xf numFmtId="0" fontId="9" fillId="0" borderId="10" xfId="0" applyFont="1" applyBorder="1" applyAlignment="1">
      <alignment vertical="center"/>
    </xf>
    <xf numFmtId="169" fontId="9" fillId="0" borderId="10" xfId="0" applyNumberFormat="1" applyFont="1" applyBorder="1" applyAlignment="1">
      <alignment horizontal="center" vertical="center"/>
    </xf>
    <xf numFmtId="0" fontId="9" fillId="0" borderId="10" xfId="0" applyFont="1" applyBorder="1" applyAlignment="1">
      <alignment vertical="top" wrapText="1"/>
    </xf>
    <xf numFmtId="0" fontId="10" fillId="0" borderId="10" xfId="0" applyFont="1" applyBorder="1" applyAlignment="1">
      <alignment vertical="top" wrapText="1"/>
    </xf>
    <xf numFmtId="0" fontId="10" fillId="0" borderId="10" xfId="0" applyFont="1" applyBorder="1" applyAlignment="1">
      <alignment horizontal="center" vertical="top"/>
    </xf>
    <xf numFmtId="0" fontId="10" fillId="0" borderId="10" xfId="0" applyFont="1" applyBorder="1" applyAlignment="1">
      <alignment vertical="center"/>
    </xf>
    <xf numFmtId="0" fontId="10" fillId="0" borderId="10" xfId="0" applyFont="1" applyBorder="1" applyAlignment="1">
      <alignment vertical="center" wrapText="1"/>
    </xf>
    <xf numFmtId="0" fontId="10" fillId="0" borderId="10" xfId="0" applyFont="1" applyBorder="1" applyAlignment="1">
      <alignment horizontal="center" vertical="center"/>
    </xf>
    <xf numFmtId="0" fontId="8" fillId="0" borderId="0" xfId="0" applyFont="1" applyAlignment="1">
      <alignment vertical="center"/>
    </xf>
    <xf numFmtId="173" fontId="10" fillId="0" borderId="10" xfId="0" applyNumberFormat="1" applyFont="1" applyBorder="1" applyAlignment="1">
      <alignment vertical="center"/>
    </xf>
    <xf numFmtId="173" fontId="10" fillId="4" borderId="3" xfId="0" applyNumberFormat="1" applyFont="1" applyFill="1" applyBorder="1" applyAlignment="1">
      <alignment vertical="center"/>
    </xf>
    <xf numFmtId="174" fontId="10" fillId="4" borderId="3" xfId="0" applyNumberFormat="1" applyFont="1" applyFill="1" applyBorder="1" applyAlignment="1">
      <alignment vertical="center"/>
    </xf>
    <xf numFmtId="174" fontId="10" fillId="0" borderId="10" xfId="0" applyNumberFormat="1" applyFont="1" applyBorder="1" applyAlignment="1">
      <alignment vertical="center"/>
    </xf>
    <xf numFmtId="0" fontId="10" fillId="4" borderId="3" xfId="0" applyFont="1" applyFill="1" applyBorder="1" applyAlignment="1">
      <alignment horizontal="center" vertical="center"/>
    </xf>
    <xf numFmtId="167" fontId="10" fillId="0" borderId="10" xfId="0" applyNumberFormat="1" applyFont="1" applyBorder="1" applyAlignment="1">
      <alignment vertical="center"/>
    </xf>
    <xf numFmtId="170" fontId="10" fillId="0" borderId="10" xfId="0" applyNumberFormat="1" applyFont="1" applyBorder="1" applyAlignment="1">
      <alignment vertical="center"/>
    </xf>
    <xf numFmtId="164" fontId="10" fillId="0" borderId="10" xfId="0" applyNumberFormat="1" applyFont="1" applyBorder="1" applyAlignment="1">
      <alignment vertical="center"/>
    </xf>
    <xf numFmtId="165" fontId="10" fillId="0" borderId="10" xfId="0" applyNumberFormat="1" applyFont="1" applyBorder="1" applyAlignment="1">
      <alignment vertical="center"/>
    </xf>
    <xf numFmtId="166" fontId="10" fillId="0" borderId="10" xfId="0" applyNumberFormat="1" applyFont="1" applyBorder="1" applyAlignment="1">
      <alignment vertical="center"/>
    </xf>
    <xf numFmtId="169" fontId="10" fillId="0" borderId="10" xfId="0" applyNumberFormat="1" applyFont="1" applyBorder="1" applyAlignment="1">
      <alignment vertical="center"/>
    </xf>
    <xf numFmtId="171" fontId="10" fillId="0" borderId="10"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Price and cost per weldment by batch</a:t>
            </a:r>
          </a:p>
        </c:rich>
      </c:tx>
      <c:layout/>
    </c:title>
    <c:plotArea>
      <c:layout/>
      <c:barChart>
        <c:barDir val="col"/>
        <c:grouping val="clustered"/>
        <c:ser>
          <c:idx val="0"/>
          <c:order val="0"/>
          <c:tx>
            <c:v>Price per weldment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Dashboard!$E$41:$I$41</c:f>
              <c:numCache>
                <c:formatCode>General</c:formatCode>
                <c:ptCount val="5"/>
                <c:pt idx="0">
                  <c:v>5</c:v>
                </c:pt>
                <c:pt idx="1">
                  <c:v>10</c:v>
                </c:pt>
                <c:pt idx="2">
                  <c:v>25</c:v>
                </c:pt>
                <c:pt idx="3">
                  <c:v>50</c:v>
                </c:pt>
                <c:pt idx="4">
                  <c:v>100</c:v>
                </c:pt>
              </c:numCache>
            </c:numRef>
          </c:cat>
          <c:val>
            <c:numRef>
              <c:f>'Weld Estimate'!$D$63:$H$63</c:f>
              <c:numCache>
                <c:formatCode>General</c:formatCode>
                <c:ptCount val="5"/>
                <c:pt idx="0">
                  <c:v>363.5</c:v>
                </c:pt>
                <c:pt idx="1">
                  <c:v>256.5</c:v>
                </c:pt>
                <c:pt idx="2">
                  <c:v>198</c:v>
                </c:pt>
                <c:pt idx="3">
                  <c:v>177</c:v>
                </c:pt>
                <c:pt idx="4">
                  <c:v>166</c:v>
                </c:pt>
              </c:numCache>
            </c:numRef>
          </c:val>
        </c:ser>
        <c:gapWidth val="60"/>
        <c:overlap val="-10"/>
        <c:axId val="50010001"/>
        <c:axId val="50010002"/>
      </c:barChart>
      <c:lineChart>
        <c:grouping val="standard"/>
        <c:ser>
          <c:idx val="1"/>
          <c:order val="1"/>
          <c:tx>
            <c:v>Cost per weldment</c:v>
          </c:tx>
          <c:spPr>
            <a:ln w="28575">
              <a:solidFill>
                <a:srgbClr val="E8702A"/>
              </a:solidFill>
            </a:ln>
          </c:spPr>
          <c:marker>
            <c:symbol val="circle"/>
            <c:size val="5"/>
            <c:spPr>
              <a:solidFill>
                <a:srgbClr val="E8702A"/>
              </a:solidFill>
              <a:ln>
                <a:solidFill>
                  <a:srgbClr val="E8702A"/>
                </a:solidFill>
              </a:ln>
            </c:spPr>
          </c:marker>
          <c:cat>
            <c:numRef>
              <c:f>Dashboard!$E$41:$I$41</c:f>
              <c:numCache>
                <c:formatCode>General</c:formatCode>
                <c:ptCount val="5"/>
                <c:pt idx="0">
                  <c:v>5</c:v>
                </c:pt>
                <c:pt idx="1">
                  <c:v>10</c:v>
                </c:pt>
                <c:pt idx="2">
                  <c:v>25</c:v>
                </c:pt>
                <c:pt idx="3">
                  <c:v>50</c:v>
                </c:pt>
                <c:pt idx="4">
                  <c:v>100</c:v>
                </c:pt>
              </c:numCache>
            </c:numRef>
          </c:cat>
          <c:val>
            <c:numRef>
              <c:f>'Weld Estimate'!$D$62:$H$62</c:f>
              <c:numCache>
                <c:formatCode>General</c:formatCode>
                <c:ptCount val="5"/>
                <c:pt idx="0">
                  <c:v>290.528765152381</c:v>
                </c:pt>
                <c:pt idx="1">
                  <c:v>204.951368056349</c:v>
                </c:pt>
                <c:pt idx="2">
                  <c:v>158.379888637143</c:v>
                </c:pt>
                <c:pt idx="3">
                  <c:v>141.264409217936</c:v>
                </c:pt>
                <c:pt idx="4">
                  <c:v>132.706669508333</c:v>
                </c:pt>
              </c:numCache>
            </c:numRef>
          </c:val>
        </c:ser>
        <c:marker val="1"/>
        <c:axId val="50010001"/>
        <c:axId val="50010002"/>
      </c:lineChart>
      <c:catAx>
        <c:axId val="5001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per weldment goes</a:t>
            </a:r>
          </a:p>
        </c:rich>
      </c:tx>
      <c:layout/>
    </c:title>
    <c:plotArea>
      <c:layout/>
      <c:barChart>
        <c:barDir val="col"/>
        <c:grouping val="stacked"/>
        <c:ser>
          <c:idx val="0"/>
          <c:order val="0"/>
          <c:tx>
            <c:v>Filler and gas</c:v>
          </c:tx>
          <c:spPr>
            <a:solidFill>
              <a:srgbClr val="3B64D8"/>
            </a:solidFill>
            <a:ln w="9525">
              <a:solidFill>
                <a:srgbClr val="FFFFFF"/>
              </a:solidFill>
            </a:ln>
          </c:spPr>
          <c:cat>
            <c:numRef>
              <c:f>Dashboard!$E$41:$I$41</c:f>
              <c:numCache>
                <c:formatCode>General</c:formatCode>
                <c:ptCount val="5"/>
                <c:pt idx="0">
                  <c:v>5</c:v>
                </c:pt>
                <c:pt idx="1">
                  <c:v>10</c:v>
                </c:pt>
                <c:pt idx="2">
                  <c:v>25</c:v>
                </c:pt>
                <c:pt idx="3">
                  <c:v>50</c:v>
                </c:pt>
                <c:pt idx="4">
                  <c:v>100</c:v>
                </c:pt>
              </c:numCache>
            </c:numRef>
          </c:cat>
          <c:val>
            <c:numRef>
              <c:f>Dashboard!$E$42:$I$42</c:f>
              <c:numCache>
                <c:formatCode>General</c:formatCode>
                <c:ptCount val="5"/>
                <c:pt idx="0">
                  <c:v>5.94756362537726</c:v>
                </c:pt>
                <c:pt idx="1">
                  <c:v>5.45193332326249</c:v>
                </c:pt>
                <c:pt idx="2">
                  <c:v>5.35280726283954</c:v>
                </c:pt>
                <c:pt idx="3">
                  <c:v>5.25368120241658</c:v>
                </c:pt>
                <c:pt idx="4">
                  <c:v>5.20411817220511</c:v>
                </c:pt>
              </c:numCache>
            </c:numRef>
          </c:val>
        </c:ser>
        <c:ser>
          <c:idx val="1"/>
          <c:order val="1"/>
          <c:tx>
            <c:v>Welder time and overhead</c:v>
          </c:tx>
          <c:spPr>
            <a:solidFill>
              <a:srgbClr val="E8702A"/>
            </a:solidFill>
            <a:ln w="9525">
              <a:solidFill>
                <a:srgbClr val="FFFFFF"/>
              </a:solidFill>
            </a:ln>
          </c:spPr>
          <c:cat>
            <c:numRef>
              <c:f>Dashboard!$E$41:$I$41</c:f>
              <c:numCache>
                <c:formatCode>General</c:formatCode>
                <c:ptCount val="5"/>
                <c:pt idx="0">
                  <c:v>5</c:v>
                </c:pt>
                <c:pt idx="1">
                  <c:v>10</c:v>
                </c:pt>
                <c:pt idx="2">
                  <c:v>25</c:v>
                </c:pt>
                <c:pt idx="3">
                  <c:v>50</c:v>
                </c:pt>
                <c:pt idx="4">
                  <c:v>100</c:v>
                </c:pt>
              </c:numCache>
            </c:numRef>
          </c:cat>
          <c:val>
            <c:numRef>
              <c:f>Dashboard!$E$43:$I$43</c:f>
              <c:numCache>
                <c:formatCode>General</c:formatCode>
                <c:ptCount val="5"/>
                <c:pt idx="0">
                  <c:v>130.581201527004</c:v>
                </c:pt>
                <c:pt idx="1">
                  <c:v>118.499434733087</c:v>
                </c:pt>
                <c:pt idx="2">
                  <c:v>115.507081374303</c:v>
                </c:pt>
                <c:pt idx="3">
                  <c:v>113.09072801552</c:v>
                </c:pt>
                <c:pt idx="4">
                  <c:v>111.882551336128</c:v>
                </c:pt>
              </c:numCache>
            </c:numRef>
          </c:val>
        </c:ser>
        <c:ser>
          <c:idx val="2"/>
          <c:order val="2"/>
          <c:tx>
            <c:v>Inspection</c:v>
          </c:tx>
          <c:spPr>
            <a:solidFill>
              <a:srgbClr val="1BA37A"/>
            </a:solidFill>
            <a:ln w="9525">
              <a:solidFill>
                <a:srgbClr val="FFFFFF"/>
              </a:solidFill>
            </a:ln>
          </c:spPr>
          <c:cat>
            <c:numRef>
              <c:f>Dashboard!$E$41:$I$41</c:f>
              <c:numCache>
                <c:formatCode>General</c:formatCode>
                <c:ptCount val="5"/>
                <c:pt idx="0">
                  <c:v>5</c:v>
                </c:pt>
                <c:pt idx="1">
                  <c:v>10</c:v>
                </c:pt>
                <c:pt idx="2">
                  <c:v>25</c:v>
                </c:pt>
                <c:pt idx="3">
                  <c:v>50</c:v>
                </c:pt>
                <c:pt idx="4">
                  <c:v>100</c:v>
                </c:pt>
              </c:numCache>
            </c:numRef>
          </c:cat>
          <c:val>
            <c:numRef>
              <c:f>Dashboard!$E$44:$I$44</c:f>
              <c:numCache>
                <c:formatCode>General</c:formatCode>
                <c:ptCount val="5"/>
                <c:pt idx="0">
                  <c:v>9.6</c:v>
                </c:pt>
                <c:pt idx="1">
                  <c:v>8.8</c:v>
                </c:pt>
                <c:pt idx="2">
                  <c:v>8.64</c:v>
                </c:pt>
                <c:pt idx="3">
                  <c:v>8.48</c:v>
                </c:pt>
                <c:pt idx="4">
                  <c:v>8.4</c:v>
                </c:pt>
              </c:numCache>
            </c:numRef>
          </c:val>
        </c:ser>
        <c:ser>
          <c:idx val="3"/>
          <c:order val="3"/>
          <c:tx>
            <c:v>Fixture setup and jig</c:v>
          </c:tx>
          <c:spPr>
            <a:solidFill>
              <a:srgbClr val="E0A100"/>
            </a:solidFill>
            <a:ln w="9525">
              <a:solidFill>
                <a:srgbClr val="FFFFFF"/>
              </a:solidFill>
            </a:ln>
          </c:spPr>
          <c:cat>
            <c:numRef>
              <c:f>Dashboard!$E$41:$I$41</c:f>
              <c:numCache>
                <c:formatCode>General</c:formatCode>
                <c:ptCount val="5"/>
                <c:pt idx="0">
                  <c:v>5</c:v>
                </c:pt>
                <c:pt idx="1">
                  <c:v>10</c:v>
                </c:pt>
                <c:pt idx="2">
                  <c:v>25</c:v>
                </c:pt>
                <c:pt idx="3">
                  <c:v>50</c:v>
                </c:pt>
                <c:pt idx="4">
                  <c:v>100</c:v>
                </c:pt>
              </c:numCache>
            </c:numRef>
          </c:cat>
          <c:val>
            <c:numRef>
              <c:f>Dashboard!$E$45:$I$45</c:f>
              <c:numCache>
                <c:formatCode>General</c:formatCode>
                <c:ptCount val="5"/>
                <c:pt idx="0">
                  <c:v>144.4</c:v>
                </c:pt>
                <c:pt idx="1">
                  <c:v>72.2</c:v>
                </c:pt>
                <c:pt idx="2">
                  <c:v>28.88</c:v>
                </c:pt>
                <c:pt idx="3">
                  <c:v>14.44</c:v>
                </c:pt>
                <c:pt idx="4">
                  <c:v>7.22</c:v>
                </c:pt>
              </c:numCache>
            </c:numRef>
          </c:val>
        </c:ser>
        <c:gapWidth val="60"/>
        <c:overlap val="100"/>
        <c:axId val="50020001"/>
        <c:axId val="50020002"/>
      </c:barChart>
      <c:catAx>
        <c:axId val="50020001"/>
        <c:scaling>
          <c:orientation val="minMax"/>
        </c:scaling>
        <c:axPos val="b"/>
        <c:numFmt formatCode="General" sourceLinked="1"/>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olumn chart of the price per weldment at each batch quantity with the cost per weldment as a line; fixture setup and the jig spread over larger batches so both fall."/>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Stacked column chart of cost per weldment at each batch quantity, split into filler and gas, welder time with overhead, inspection, and fixture setup and jig."/>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Processes" displayName="tblProcesses" ref="B24:J29" totalsRowShown="0">
  <autoFilter ref="B24:J29"/>
  <tableColumns count="9">
    <tableColumn id="1" name="Process"/>
    <tableColumn id="2" name="Deposition rate"/>
    <tableColumn id="3" name="Efficiency"/>
    <tableColumn id="4" name="Operating factor"/>
    <tableColumn id="5" name="Filler price"/>
    <tableColumn id="6" name="Gas flow"/>
    <tableColumn id="7" name="Gas price"/>
    <tableColumn id="8" name="Arc min per kg">
      <calculatedColumnFormula>IF(N(tblProcesses[[#This Row],[Deposition rate]])=0,"",60/(tblProcesses[[#This Row],[Deposition rate]]*IF(MassUnit="lb",0.45359237,1)))</calculatedColumnFormula>
    </tableColumn>
    <tableColumn id="9" name="Consumables per kg">
      <calculatedColumnFormula>IF(tblProcesses[[#This Row],[Arc min per kg]]="","",tblProcesses[[#This Row],[Filler price]]/IF(MassUnit="lb",0.45359237,1)/tblProcesses[[#This Row],[Efficiency]]+tblProcesses[[#This Row],[Gas flow]]*IF(GasUnit="ft3/h",28.316846592/60,1)*tblProcesses[[#This Row],[Arc min per kg]]*tblProcesses[[#This Row],[Gas price]]/IF(GasUnit="ft3/h",28.316846592,1000))</calculatedColumnFormula>
    </tableColumn>
  </tableColumns>
  <tableStyleInfo name="TableStyleLight1" showFirstColumn="0" showLastColumn="0" showRowStripes="0" showColumnStripes="0"/>
</table>
</file>

<file path=xl/tables/table2.xml><?xml version="1.0" encoding="utf-8"?>
<table xmlns="http://schemas.openxmlformats.org/spreadsheetml/2006/main" id="2" name="tblWelds" displayName="tblWelds" ref="B26:O32" totalsRowShown="0">
  <autoFilter ref="B26:O32"/>
  <tableColumns count="14">
    <tableColumn id="1" name="Weld"/>
    <tableColumn id="2" name="Joint"/>
    <tableColumn id="3" name="Size"/>
    <tableColumn id="4" name="Length"/>
    <tableColumn id="5" name="Process"/>
    <tableColumn id="6" name="Area (mm2)">
      <calculatedColumnFormula>IF(tblWelds[[#This Row],[Weld]]="","",IF(tblWelds[[#This Row],[Joint]]="Fillet",(tblWelds[[#This Row],[Size]]*IF(DimUnit="in",25.4,1))^2/2,(tblWelds[[#This Row],[Size]]*IF(DimUnit="in",25.4,1))^2*TAN(RADIANS(GrooveAngle/2))+RootGap*IF(DimUnit="in",25.4,1)*tblWelds[[#This Row],[Size]]*IF(DimUnit="in",25.4,1))*(1+Reinforce))</calculatedColumnFormula>
    </tableColumn>
    <tableColumn id="7" name="Weld metal (kg)">
      <calculatedColumnFormula>IF(tblWelds[[#This Row],[Weld]]="","",tblWelds[[#This Row],[Area (mm2)]]*tblWelds[[#This Row],[Length]]*IF(DimUnit="in",25.4,1)*FillerDensity/1000000)</calculatedColumnFormula>
    </tableColumn>
    <tableColumn id="8" name="Arc min per kg">
      <calculatedColumnFormula>IF(tblWelds[[#This Row],[Weld]]="","",IFERROR(INDEX(tblProcesses[Arc min per kg],MATCH(tblWelds[[#This Row],[Process]],tblProcesses[Process],0)),""))</calculatedColumnFormula>
    </tableColumn>
    <tableColumn id="9" name="Op factor">
      <calculatedColumnFormula>IF(tblWelds[[#This Row],[Weld]]="","",IFERROR(INDEX(tblProcesses[Operating factor],MATCH(tblWelds[[#This Row],[Process]],tblProcesses[Process],0)),""))</calculatedColumnFormula>
    </tableColumn>
    <tableColumn id="10" name="Cons per kg">
      <calculatedColumnFormula>IF(tblWelds[[#This Row],[Weld]]="","",IFERROR(INDEX(tblProcesses[Consumables per kg],MATCH(tblWelds[[#This Row],[Process]],tblProcesses[Process],0)),""))</calculatedColumnFormula>
    </tableColumn>
    <tableColumn id="11" name="Arc time (min)">
      <calculatedColumnFormula>IF(tblWelds[[#This Row],[Weld]]="","",IF(tblWelds[[#This Row],[Arc min per kg]]="","",tblWelds[[#This Row],[Weld metal (kg)]]*tblWelds[[#This Row],[Arc min per kg]]))</calculatedColumnFormula>
    </tableColumn>
    <tableColumn id="12" name="Welder time (min)">
      <calculatedColumnFormula>IF(tblWelds[[#This Row],[Weld]]="","",IF(OR(tblWelds[[#This Row],[Arc time (min)]]="",N(tblWelds[[#This Row],[Op factor]])=0),"",tblWelds[[#This Row],[Arc time (min)]]/tblWelds[[#This Row],[Op factor]]))</calculatedColumnFormula>
    </tableColumn>
    <tableColumn id="13" name="Cost">
      <calculatedColumnFormula>IF(tblWelds[[#This Row],[Weld]]="","",IF(tblWelds[[#This Row],[Welder time (min)]]="","",tblWelds[[#This Row],[Weld metal (kg)]]*tblWelds[[#This Row],[Cons per kg]]+tblWelds[[#This Row],[Welder time (min)]]/60*WelderRate))</calculatedColumnFormula>
    </tableColumn>
    <tableColumn id="14" name="Check">
      <calculatedColumnFormula>IF(tblWelds[[#This Row],[Weld]]="","",IF(tblWelds[[#This Row],[Joint]]="","Missing joint",IF(tblWelds[[#This Row],[Process]]="","Missing process",IF(tblWelds[[#This Row],[Arc min per kg]]="","Process not on Setup list",IF(N(tblWelds[[#This Row],[Length]])=0,"Enter a weld length","OK")))))</calculatedColumnFormula>
    </tableColumn>
  </tableColumns>
  <tableStyleInfo name="TableStyleLight1" showFirstColumn="0" showLastColumn="0" showRowStripes="0" showColumnStripes="0"/>
</table>
</file>

<file path=xl/tables/table3.xml><?xml version="1.0" encoding="utf-8"?>
<table xmlns="http://schemas.openxmlformats.org/spreadsheetml/2006/main" id="3" name="tblVerifyProcesses" displayName="tblVerifyProcesses" ref="B45:J50" totalsRowShown="0">
  <tableColumns count="9">
    <tableColumn id="1" name="Process"/>
    <tableColumn id="2" name="Deposition rate"/>
    <tableColumn id="3" name="Efficiency"/>
    <tableColumn id="4" name="Operating factor"/>
    <tableColumn id="5" name="Filler price"/>
    <tableColumn id="6" name="Gas flow"/>
    <tableColumn id="7" name="Gas price"/>
    <tableColumn id="8" name="Arc min per kg">
      <calculatedColumnFormula>IF(N(tblVerifyProcesses[[#This Row],[Deposition rate]])=0,"",60/(tblVerifyProcesses[[#This Row],[Deposition rate]]*IF($E$40="lb",0.45359237,1)))</calculatedColumnFormula>
    </tableColumn>
    <tableColumn id="9" name="Consumables per kg">
      <calculatedColumnFormula>IF(tblVerifyProcesses[[#This Row],[Arc min per kg]]="","",tblVerifyProcesses[[#This Row],[Filler price]]/IF($E$40="lb",0.45359237,1)/tblVerifyProcesses[[#This Row],[Efficiency]]+tblVerifyProcesses[[#This Row],[Gas flow]]*IF($E$41="ft3/h",28.316846592/60,1)*tblVerifyProcesses[[#This Row],[Arc min per kg]]*tblVerifyProcesses[[#This Row],[Gas price]]/IF($E$41="ft3/h",28.316846592,1000))</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VerifyWelds" displayName="tblVerifyWelds" ref="B54:O61" totalsRowShown="0">
  <tableColumns count="14">
    <tableColumn id="1" name="Weld"/>
    <tableColumn id="2" name="Joint"/>
    <tableColumn id="3" name="Size"/>
    <tableColumn id="4" name="Length"/>
    <tableColumn id="5" name="Process"/>
    <tableColumn id="6" name="Area (mm2)">
      <calculatedColumnFormula>IF(tblVerifyWelds[[#This Row],[Weld]]="","",IF(tblVerifyWelds[[#This Row],[Joint]]="Fillet",(tblVerifyWelds[[#This Row],[Size]]*IF($E$64="in",25.4,1))^2/2,(tblVerifyWelds[[#This Row],[Size]]*IF($E$64="in",25.4,1))^2*TAN(RADIANS($E$65/2))+$E$66*IF($E$64="in",25.4,1)*tblVerifyWelds[[#This Row],[Size]]*IF($E$64="in",25.4,1))*(1+$E$67))</calculatedColumnFormula>
    </tableColumn>
    <tableColumn id="7" name="Weld metal (kg)">
      <calculatedColumnFormula>IF(tblVerifyWelds[[#This Row],[Weld]]="","",tblVerifyWelds[[#This Row],[Area (mm2)]]*tblVerifyWelds[[#This Row],[Length]]*IF($E$64="in",25.4,1)*$E$68/1000000)</calculatedColumnFormula>
    </tableColumn>
    <tableColumn id="8" name="Arc min per kg"/>
    <tableColumn id="9" name="Op factor"/>
    <tableColumn id="10" name="Cons per kg"/>
    <tableColumn id="11" name="Arc time (min)">
      <calculatedColumnFormula>IF(tblVerifyWelds[[#This Row],[Weld]]="","",IF(tblVerifyWelds[[#This Row],[Arc min per kg]]="","",tblVerifyWelds[[#This Row],[Weld metal (kg)]]*tblVerifyWelds[[#This Row],[Arc min per kg]]))</calculatedColumnFormula>
    </tableColumn>
    <tableColumn id="12" name="Welder time (min)">
      <calculatedColumnFormula>IF(tblVerifyWelds[[#This Row],[Weld]]="","",IF(OR(tblVerifyWelds[[#This Row],[Arc time (min)]]="",N(tblVerifyWelds[[#This Row],[Op factor]])=0),"",tblVerifyWelds[[#This Row],[Arc time (min)]]/tblVerifyWelds[[#This Row],[Op factor]]))</calculatedColumnFormula>
    </tableColumn>
    <tableColumn id="13" name="Cost">
      <calculatedColumnFormula>IF(tblVerifyWelds[[#This Row],[Weld]]="","",IF(tblVerifyWelds[[#This Row],[Welder time (min)]]="","",tblVerifyWelds[[#This Row],[Weld metal (kg)]]*tblVerifyWelds[[#This Row],[Cons per kg]]+tblVerifyWelds[[#This Row],[Welder time (min)]]/60*$E$35))</calculatedColumnFormula>
    </tableColumn>
    <tableColumn id="14" name="Check">
      <calculatedColumnFormula>IF(tblVerifyWelds[[#This Row],[Weld]]="","",IF(tblVerifyWelds[[#This Row],[Joint]]="","Missing joint",IF(tblVerifyWelds[[#This Row],[Process]]="","Missing process",IF(tblVerifyWelds[[#This Row],[Arc min per kg]]="","Process not on Setup list",IF(N(tblVerifyWelds[[#This Row],[Length]])=0,"Enter a weld length","OK")))))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elding-cost-estimator" TargetMode="External"/><Relationship Id="rId2" Type="http://schemas.openxmlformats.org/officeDocument/2006/relationships/hyperlink" Target="https://www.mfgcalcs.com/calculators/welding-metal-fabrication/welding-cost-per-part?utm_source=mfgcalcs-template&amp;utm_medium=xlsx&amp;utm_campaign=welding-cost-estimator" TargetMode="External"/><Relationship Id="rId3" Type="http://schemas.openxmlformats.org/officeDocument/2006/relationships/hyperlink" Target="https://www.mfgcalcs.com/templates/welding-cost-estimator?utm_source=mfgcalcs-template&amp;utm_medium=xlsx&amp;utm_campaign=welding-cost-estimator" TargetMode="External"/><Relationship Id="rId4" Type="http://schemas.openxmlformats.org/officeDocument/2006/relationships/hyperlink" Target="https://www.mfgcalcs.com/templates?utm_source=mfgcalcs-template&amp;utm_medium=xlsx&amp;utm_campaign=welding-cost-estimato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elding-cost-estimator"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elding-cost-estimator"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elding-cost-estimator"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elding-cost-estimator" TargetMode="External"/><Relationship Id="rId2" Type="http://schemas.openxmlformats.org/officeDocument/2006/relationships/hyperlink" Target="https://www.mfgcalcs.com/calculators/welding-metal-fabrication/welding-cost-per-part?utm_source=mfgcalcs-template&amp;utm_medium=xlsx&amp;utm_campaign=welding-cost-estimato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elding-cost-estimator"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19 of 19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Weld Estimate'!A1" tooltip="Go to Weld Estimate" display="Weld Estimate"/>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Welding Cost Estimator&amp;R&amp;8&amp;A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L29"/>
  <sheetViews>
    <sheetView showGridLines="0" workbookViewId="0"/>
  </sheetViews>
  <sheetFormatPr defaultRowHeight="15"/>
  <cols>
    <col min="1" max="1" width="2.7109375" customWidth="1"/>
    <col min="2" max="2" width="30.7109375" customWidth="1"/>
    <col min="3" max="12" width="14.7109375" customWidth="1"/>
  </cols>
  <sheetData>
    <row r="1" spans="1:12" ht="30" customHeight="1">
      <c r="A1" s="1" t="s">
        <v>0</v>
      </c>
      <c r="B1" s="1"/>
      <c r="C1" s="1"/>
      <c r="D1" s="1"/>
      <c r="E1" s="1"/>
      <c r="F1" s="1"/>
      <c r="G1" s="1"/>
      <c r="H1" s="1"/>
      <c r="I1" s="1"/>
      <c r="J1" s="1"/>
      <c r="K1" s="1"/>
      <c r="L1" s="1"/>
    </row>
    <row r="2" spans="1:12" ht="21" customHeight="1">
      <c r="B2" s="2" t="s">
        <v>20</v>
      </c>
      <c r="C2" s="2"/>
      <c r="D2" s="2"/>
      <c r="E2" s="2"/>
      <c r="F2" s="2"/>
      <c r="G2" s="2"/>
      <c r="H2" s="2"/>
      <c r="I2" s="2"/>
      <c r="J2" s="2"/>
      <c r="K2" s="2"/>
      <c r="L2" s="3" t="s">
        <v>2</v>
      </c>
    </row>
    <row r="3" spans="1:12" ht="6" customHeight="1"/>
    <row r="4" spans="1:12" ht="21" customHeight="1">
      <c r="B4" s="8" t="s">
        <v>71</v>
      </c>
      <c r="C4" s="8"/>
      <c r="D4" s="8"/>
      <c r="E4" s="8"/>
      <c r="F4" s="8"/>
      <c r="G4" s="8"/>
      <c r="H4" s="8"/>
      <c r="I4" s="8"/>
      <c r="J4" s="8"/>
      <c r="K4" s="8"/>
      <c r="L4" s="8"/>
    </row>
    <row r="5" spans="1:12" ht="5" customHeight="1"/>
    <row r="6" spans="1:12">
      <c r="B6" s="27" t="s">
        <v>72</v>
      </c>
      <c r="C6" s="28" t="s">
        <v>73</v>
      </c>
      <c r="D6" s="28"/>
    </row>
    <row r="7" spans="1:12">
      <c r="B7" s="27" t="s">
        <v>74</v>
      </c>
      <c r="C7" s="28" t="s">
        <v>75</v>
      </c>
      <c r="D7" s="28"/>
    </row>
    <row r="9" spans="1:12" ht="21" customHeight="1">
      <c r="B9" s="8" t="s">
        <v>76</v>
      </c>
      <c r="C9" s="8"/>
      <c r="D9" s="8"/>
      <c r="E9" s="8"/>
      <c r="F9" s="8"/>
      <c r="G9" s="8"/>
      <c r="H9" s="8"/>
      <c r="I9" s="8"/>
      <c r="J9" s="8"/>
      <c r="K9" s="8"/>
      <c r="L9" s="8"/>
    </row>
    <row r="10" spans="1:12" ht="5" customHeight="1"/>
    <row r="11" spans="1:12">
      <c r="B11" s="27" t="s">
        <v>77</v>
      </c>
      <c r="C11" s="29">
        <v>48</v>
      </c>
      <c r="D11" s="7" t="str">
        <f>Currency&amp;"/h"</f>
        <v>USD/h</v>
      </c>
    </row>
    <row r="12" spans="1:12">
      <c r="B12" s="27" t="s">
        <v>78</v>
      </c>
      <c r="C12" s="30">
        <v>0.2</v>
      </c>
      <c r="D12" s="7"/>
    </row>
    <row r="13" spans="1:12">
      <c r="B13" s="27" t="s">
        <v>79</v>
      </c>
      <c r="C13" s="30">
        <v>0.2</v>
      </c>
      <c r="D13" s="7"/>
    </row>
    <row r="14" spans="1:12">
      <c r="B14" s="27" t="s">
        <v>80</v>
      </c>
      <c r="C14" s="30">
        <v>0.96</v>
      </c>
      <c r="D14" s="7"/>
    </row>
    <row r="15" spans="1:12">
      <c r="B15" s="27" t="s">
        <v>81</v>
      </c>
      <c r="C15" s="29">
        <v>0.5</v>
      </c>
      <c r="D15" s="7" t="str">
        <f>Currency</f>
        <v>USD</v>
      </c>
    </row>
    <row r="16" spans="1:12">
      <c r="B16" s="27" t="s">
        <v>82</v>
      </c>
      <c r="C16" s="28" t="s">
        <v>83</v>
      </c>
      <c r="D16" s="28"/>
    </row>
    <row r="17" spans="2:12">
      <c r="B17" s="27" t="s">
        <v>84</v>
      </c>
      <c r="C17" s="28" t="s">
        <v>85</v>
      </c>
      <c r="D17" s="28"/>
    </row>
    <row r="18" spans="2:12">
      <c r="B18" s="27" t="s">
        <v>86</v>
      </c>
      <c r="C18" s="31" t="str">
        <f>IF(GasUnit="ft3/h","ft3","m3")</f>
        <v>m3</v>
      </c>
      <c r="D18" s="31"/>
    </row>
    <row r="20" spans="2:12" ht="21" customHeight="1">
      <c r="B20" s="8" t="s">
        <v>87</v>
      </c>
      <c r="C20" s="8"/>
      <c r="D20" s="8"/>
      <c r="E20" s="8"/>
      <c r="F20" s="8"/>
      <c r="G20" s="8"/>
      <c r="H20" s="8"/>
      <c r="I20" s="8"/>
      <c r="J20" s="8"/>
      <c r="K20" s="8"/>
      <c r="L20" s="8"/>
    </row>
    <row r="21" spans="2:12" ht="5" customHeight="1"/>
    <row r="22" spans="2:12">
      <c r="B22" s="32" t="s">
        <v>88</v>
      </c>
      <c r="C22" s="32"/>
      <c r="D22" s="32"/>
      <c r="E22" s="32"/>
      <c r="F22" s="32"/>
      <c r="G22" s="32"/>
      <c r="H22" s="32"/>
      <c r="I22" s="32"/>
      <c r="J22" s="32"/>
    </row>
    <row r="23" spans="2:12" ht="14" customHeight="1">
      <c r="B23" s="33"/>
      <c r="C23" s="33" t="str">
        <f>MassUnit&amp;"/h"</f>
        <v>kg/h</v>
      </c>
      <c r="D23" s="33"/>
      <c r="E23" s="33"/>
      <c r="F23" s="33" t="str">
        <f>Currency&amp;"/"&amp;MassUnit</f>
        <v>USD/kg</v>
      </c>
      <c r="G23" s="33" t="str">
        <f>GasUnit</f>
        <v>L/min</v>
      </c>
      <c r="H23" s="33" t="str">
        <f>Currency&amp;"/"&amp;GasPer</f>
        <v>USD/m3</v>
      </c>
      <c r="I23" s="33" t="s">
        <v>89</v>
      </c>
      <c r="J23" s="33" t="str">
        <f>Currency&amp;"/kg dep."</f>
        <v>USD/kg dep.</v>
      </c>
    </row>
    <row r="24" spans="2:12" ht="32" customHeight="1">
      <c r="B24" s="34" t="s">
        <v>62</v>
      </c>
      <c r="C24" s="34" t="s">
        <v>63</v>
      </c>
      <c r="D24" s="34" t="s">
        <v>64</v>
      </c>
      <c r="E24" s="34" t="s">
        <v>65</v>
      </c>
      <c r="F24" s="34" t="s">
        <v>66</v>
      </c>
      <c r="G24" s="34" t="s">
        <v>67</v>
      </c>
      <c r="H24" s="34" t="s">
        <v>68</v>
      </c>
      <c r="I24" s="34" t="s">
        <v>69</v>
      </c>
      <c r="J24" s="34" t="s">
        <v>70</v>
      </c>
    </row>
    <row r="25" spans="2:12">
      <c r="B25" s="28" t="s">
        <v>90</v>
      </c>
      <c r="C25" s="29">
        <v>3.2</v>
      </c>
      <c r="D25" s="30">
        <v>0.95</v>
      </c>
      <c r="E25" s="30">
        <v>0.35</v>
      </c>
      <c r="F25" s="29">
        <v>2.4</v>
      </c>
      <c r="G25" s="35">
        <v>15</v>
      </c>
      <c r="H25" s="29">
        <v>2.2</v>
      </c>
      <c r="I25" s="36">
        <f>IF(N(tblProcesses[[#This Row],[Deposition rate]])=0,"",60/(tblProcesses[[#This Row],[Deposition rate]]*IF(MassUnit="lb",0.45359237,1)))</f>
        <v>18.75</v>
      </c>
      <c r="J25" s="37">
        <f>IF(tblProcesses[[#This Row],[Arc min per kg]]="","",tblProcesses[[#This Row],[Filler price]]/IF(MassUnit="lb",0.45359237,1)/tblProcesses[[#This Row],[Efficiency]]+tblProcesses[[#This Row],[Gas flow]]*IF(GasUnit="ft3/h",28.316846592/60,1)*tblProcesses[[#This Row],[Arc min per kg]]*tblProcesses[[#This Row],[Gas price]]/IF(GasUnit="ft3/h",28.316846592,1000))</f>
        <v>3.14506578947368</v>
      </c>
    </row>
    <row r="26" spans="2:12">
      <c r="B26" s="28" t="s">
        <v>91</v>
      </c>
      <c r="C26" s="29">
        <v>4.5</v>
      </c>
      <c r="D26" s="30">
        <v>0.85</v>
      </c>
      <c r="E26" s="30">
        <v>0.4</v>
      </c>
      <c r="F26" s="29">
        <v>4.1</v>
      </c>
      <c r="G26" s="35">
        <v>18</v>
      </c>
      <c r="H26" s="29">
        <v>1.1</v>
      </c>
      <c r="I26" s="36">
        <f>IF(N(tblProcesses[[#This Row],[Deposition rate]])=0,"",60/(tblProcesses[[#This Row],[Deposition rate]]*IF(MassUnit="lb",0.45359237,1)))</f>
        <v>13.3333333333333</v>
      </c>
      <c r="J26" s="37">
        <f>IF(tblProcesses[[#This Row],[Arc min per kg]]="","",tblProcesses[[#This Row],[Filler price]]/IF(MassUnit="lb",0.45359237,1)/tblProcesses[[#This Row],[Efficiency]]+tblProcesses[[#This Row],[Gas flow]]*IF(GasUnit="ft3/h",28.316846592/60,1)*tblProcesses[[#This Row],[Arc min per kg]]*tblProcesses[[#This Row],[Gas price]]/IF(GasUnit="ft3/h",28.316846592,1000))</f>
        <v>5.08752941176471</v>
      </c>
    </row>
    <row r="27" spans="2:12">
      <c r="B27" s="28" t="s">
        <v>92</v>
      </c>
      <c r="C27" s="29">
        <v>1.2</v>
      </c>
      <c r="D27" s="30">
        <v>0.6</v>
      </c>
      <c r="E27" s="30">
        <v>0.25</v>
      </c>
      <c r="F27" s="29">
        <v>3.8</v>
      </c>
      <c r="G27" s="35">
        <v>0</v>
      </c>
      <c r="H27" s="29">
        <v>0</v>
      </c>
      <c r="I27" s="36">
        <f>IF(N(tblProcesses[[#This Row],[Deposition rate]])=0,"",60/(tblProcesses[[#This Row],[Deposition rate]]*IF(MassUnit="lb",0.45359237,1)))</f>
        <v>50</v>
      </c>
      <c r="J27" s="37">
        <f>IF(tblProcesses[[#This Row],[Arc min per kg]]="","",tblProcesses[[#This Row],[Filler price]]/IF(MassUnit="lb",0.45359237,1)/tblProcesses[[#This Row],[Efficiency]]+tblProcesses[[#This Row],[Gas flow]]*IF(GasUnit="ft3/h",28.316846592/60,1)*tblProcesses[[#This Row],[Arc min per kg]]*tblProcesses[[#This Row],[Gas price]]/IF(GasUnit="ft3/h",28.316846592,1000))</f>
        <v>6.33333333333333</v>
      </c>
    </row>
    <row r="28" spans="2:12">
      <c r="B28" s="28" t="s">
        <v>93</v>
      </c>
      <c r="C28" s="29">
        <v>0.6</v>
      </c>
      <c r="D28" s="30">
        <v>0.98</v>
      </c>
      <c r="E28" s="30">
        <v>0.2</v>
      </c>
      <c r="F28" s="29">
        <v>9.5</v>
      </c>
      <c r="G28" s="35">
        <v>10</v>
      </c>
      <c r="H28" s="29">
        <v>3.1</v>
      </c>
      <c r="I28" s="36">
        <f>IF(N(tblProcesses[[#This Row],[Deposition rate]])=0,"",60/(tblProcesses[[#This Row],[Deposition rate]]*IF(MassUnit="lb",0.45359237,1)))</f>
        <v>100</v>
      </c>
      <c r="J28" s="37">
        <f>IF(tblProcesses[[#This Row],[Arc min per kg]]="","",tblProcesses[[#This Row],[Filler price]]/IF(MassUnit="lb",0.45359237,1)/tblProcesses[[#This Row],[Efficiency]]+tblProcesses[[#This Row],[Gas flow]]*IF(GasUnit="ft3/h",28.316846592/60,1)*tblProcesses[[#This Row],[Arc min per kg]]*tblProcesses[[#This Row],[Gas price]]/IF(GasUnit="ft3/h",28.316846592,1000))</f>
        <v>12.7938775510204</v>
      </c>
    </row>
    <row r="29" spans="2:12">
      <c r="B29" s="28" t="s">
        <v>94</v>
      </c>
      <c r="C29" s="29">
        <v>8</v>
      </c>
      <c r="D29" s="30">
        <v>0.99</v>
      </c>
      <c r="E29" s="30">
        <v>0.5</v>
      </c>
      <c r="F29" s="29">
        <v>2.1</v>
      </c>
      <c r="G29" s="35">
        <v>0</v>
      </c>
      <c r="H29" s="29">
        <v>0</v>
      </c>
      <c r="I29" s="36">
        <f>IF(N(tblProcesses[[#This Row],[Deposition rate]])=0,"",60/(tblProcesses[[#This Row],[Deposition rate]]*IF(MassUnit="lb",0.45359237,1)))</f>
        <v>7.5</v>
      </c>
      <c r="J29" s="37">
        <f>IF(tblProcesses[[#This Row],[Arc min per kg]]="","",tblProcesses[[#This Row],[Filler price]]/IF(MassUnit="lb",0.45359237,1)/tblProcesses[[#This Row],[Efficiency]]+tblProcesses[[#This Row],[Gas flow]]*IF(GasUnit="ft3/h",28.316846592/60,1)*tblProcesses[[#This Row],[Arc min per kg]]*tblProcesses[[#This Row],[Gas price]]/IF(GasUnit="ft3/h",28.316846592,1000))</f>
        <v>2.12121212121212</v>
      </c>
    </row>
  </sheetData>
  <mergeCells count="11">
    <mergeCell ref="A1:L1"/>
    <mergeCell ref="B2:K2"/>
    <mergeCell ref="B4:L4"/>
    <mergeCell ref="C6:D6"/>
    <mergeCell ref="C7:D7"/>
    <mergeCell ref="B9:L9"/>
    <mergeCell ref="C16:D16"/>
    <mergeCell ref="C17:D17"/>
    <mergeCell ref="C18:D18"/>
    <mergeCell ref="B20:L20"/>
    <mergeCell ref="B22:J22"/>
  </mergeCells>
  <dataValidations count="16">
    <dataValidation type="textLength" allowBlank="1" showInputMessage="1" showErrorMessage="1" errorTitle="Check this entry" error="Text up to 80 characters." promptTitle="Company name" prompt="Text up to 80 characters." sqref="C6">
      <formula1>0</formula1>
      <formula2>80</formula2>
    </dataValidation>
    <dataValidation type="textLength" allowBlank="1" showInputMessage="1" showErrorMessage="1" errorTitle="Check this entry" error="Text up to 12 characters." promptTitle="Currency label" prompt="Text shown with every price, e.g. USD, INR, GBP, EUR, MXN. No exchange rate is applied. Text up to 12 characters." sqref="C7">
      <formula1>0</formula1>
      <formula2>12</formula2>
    </dataValidation>
    <dataValidation type="decimal" allowBlank="1" showInputMessage="1" showErrorMessage="1" errorTitle="Check this entry" error="Enter a number from 0 to 10,000." promptTitle="Welder labour rate" prompt="Loaded hourly cost of a welder: wages, benefits and the welding set, with or without overhead (below). Enter a number from 0 to 10,000." sqref="C11">
      <formula1>0</formula1>
      <formula2>10000</formula2>
    </dataValidation>
    <dataValidation type="decimal" allowBlank="1" showInputMessage="1" showErrorMessage="1" errorTitle="Check this entry" error="Enter a percentage from 0% to 500% (type 85% or 0.85)." promptTitle="Overhead on welder time and s..." prompt="Set to 0% if your welder rate already includes overhead. Enter a percentage from 0% to 500% (type 85% or 0.85)." sqref="C12">
      <formula1>0</formula1>
      <formula2>5</formula2>
    </dataValidation>
    <dataValidation type="decimal" allowBlank="1" showInputMessage="1" showErrorMessage="1" errorTitle="Check this entry" error="Enter a percentage from 0% to 95% (type 85% or 0.85)." promptTitle="Target margin on price" prompt="Margin on selling price: price = cost / (1 - margin). 20% margin is a 25% markup on cost. Enter a percentage from 0% to 95% (type 85% or 0.85)." sqref="C13">
      <formula1>0</formula1>
      <formula2>0.95</formula2>
    </dataValidation>
    <dataValidation type="decimal" allowBlank="1" showInputMessage="1" showErrorMessage="1" errorTitle="Check this entry" error="Enter a percentage from 1% to 100% (type 85% or 0.85)." promptTitle="First-pass acceptance" prompt="Accepted weldments / weldments processed on similar work. Rejected weldments use consumables and welder time too. Enter a percentage from 1% to 100% (type 85% or 0.85)." sqref="C14">
      <formula1>0.01</formula1>
      <formula2>1</formula2>
    </dataValidation>
    <dataValidation type="decimal" allowBlank="1" showInputMessage="1" showErrorMessage="1" errorTitle="Check this entry" error="Enter a number from 0.0001 to 10,000." promptTitle="Round prices up to the nearest" prompt="Enter a number from 0.0001 to 10,000." sqref="C15">
      <formula1>0.0001</formula1>
      <formula2>10000</formula2>
    </dataValidation>
    <dataValidation type="list" allowBlank="1" showInputMessage="1" showErrorMessage="1" errorTitle="Check this entry" error="Pick one of: kg, lb." promptTitle="Deposition rate and filler pr..." prompt="kg: deposition in kg/h and filler price per kg; lb: lb/h and price per lb (1 lb = 0.45359237 kg). Pick one of: kg, lb." sqref="C16">
      <formula1>"kg,lb"</formula1>
    </dataValidation>
    <dataValidation type="list" allowBlank="1" showInputMessage="1" showErrorMessage="1" errorTitle="Check this entry" error="Pick one of: L/min, ft3/h." promptTitle="Gas flow in" prompt="L/min with gas price per m3, or ft3/h (CFH) with gas price per ft3 (1 ft3 = 28.316846592 L). Pick one of: L/min, ft3/h." sqref="C17">
      <formula1>"L/min,ft3/h"</formula1>
    </dataValidation>
    <dataValidation type="textLength" allowBlank="1" showInputMessage="1" showErrorMessage="1" errorTitle="Check this entry" error="Text up to 40 characters." promptTitle="Process" prompt="Text up to 40 characters." sqref="B25:B129">
      <formula1>0</formula1>
      <formula2>40</formula2>
    </dataValidation>
    <dataValidation type="decimal" allowBlank="1" showInputMessage="1" showErrorMessage="1" errorTitle="Check this entry" error="Enter a number from 0.01 to 1,000." promptTitle="Deposition rate" prompt="Weld metal deposited per hour of arc-on time at your usual parameters. Enter a number from 0.01 to 1,000." sqref="C25:C129">
      <formula1>0.01</formula1>
      <formula2>1000</formula2>
    </dataValidation>
    <dataValidation type="decimal" allowBlank="1" showInputMessage="1" showErrorMessage="1" errorTitle="Check this entry" error="Enter a percentage from 1% to 100% (type 85% or 0.85)." promptTitle="Efficiency" prompt="Deposition efficiency: weld metal deposited / filler bought (stub loss, spatter, slag). Enter a percentage from 1% to 100% (type 85% or 0.85)." sqref="D25:D129">
      <formula1>0.01</formula1>
      <formula2>1</formula2>
    </dataValidation>
    <dataValidation type="decimal" allowBlank="1" showInputMessage="1" showErrorMessage="1" errorTitle="Check this entry" error="Enter a percentage from 1% to 100% (type 85% or 0.85)." promptTitle="Operating factor" prompt="Arc-on time / welder's time on the weld (repositioning, changing electrodes or wire, chipping). Enter a percentage from 1% to 100% (type 85% or 0.85)." sqref="E25:E129">
      <formula1>0.01</formula1>
      <formula2>1</formula2>
    </dataValidation>
    <dataValidation type="decimal" allowBlank="1" showInputMessage="1" showErrorMessage="1" errorTitle="Check this entry" error="Enter a number from 0 to 100,000." promptTitle="Filler price" prompt="Enter a number from 0 to 100,000." sqref="F25:F129">
      <formula1>0</formula1>
      <formula2>100000.0</formula2>
    </dataValidation>
    <dataValidation type="decimal" allowBlank="1" showInputMessage="1" showErrorMessage="1" errorTitle="Check this entry" error="Enter a number from 0 to 1,000." promptTitle="Gas flow" prompt="Shielding gas flow while the arc is on; 0 for processes without gas. Enter a number from 0 to 1,000." sqref="G25:G129">
      <formula1>0</formula1>
      <formula2>1000</formula2>
    </dataValidation>
    <dataValidation type="decimal" allowBlank="1" showInputMessage="1" showErrorMessage="1" errorTitle="Check this entry" error="Enter a number from 0 to 100,000." promptTitle="Gas price" prompt="Enter a number from 0 to 100,000." sqref="H25:H129">
      <formula1>0</formula1>
      <formula2>100000.0</formula2>
    </dataValidation>
  </dataValidations>
  <hyperlinks>
    <hyperlink ref="L2" r:id="rId1" tooltip="Free manufacturing calculators and templates"/>
  </hyperlinks>
  <pageMargins left="0.4" right="0.4" top="0.7" bottom="0.65" header="0.3" footer="0.3"/>
  <pageSetup fitToHeight="0" orientation="landscape"/>
  <headerFooter>
    <oddHeader>&amp;L&amp;8MFG Calcs - Welding Cost Estimator&amp;R&amp;8&amp;A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O66"/>
  <sheetViews>
    <sheetView showGridLines="0" workbookViewId="0"/>
  </sheetViews>
  <sheetFormatPr defaultRowHeight="15"/>
  <cols>
    <col min="1" max="1" width="2.7109375" customWidth="1"/>
    <col min="2" max="2" width="30.7109375" customWidth="1"/>
    <col min="3" max="3" width="14.7109375" customWidth="1"/>
    <col min="4" max="5" width="11.7109375" customWidth="1"/>
    <col min="6" max="6" width="20.7109375" customWidth="1"/>
    <col min="7" max="14" width="11.7109375" customWidth="1"/>
    <col min="15" max="15" width="20.7109375" customWidth="1"/>
  </cols>
  <sheetData>
    <row r="1" spans="1:15" ht="30" customHeight="1">
      <c r="A1" s="1" t="s">
        <v>0</v>
      </c>
      <c r="B1" s="1"/>
      <c r="C1" s="1"/>
      <c r="D1" s="1"/>
      <c r="E1" s="1"/>
      <c r="F1" s="1"/>
      <c r="G1" s="1"/>
      <c r="H1" s="1"/>
      <c r="I1" s="1"/>
      <c r="J1" s="1"/>
      <c r="K1" s="1"/>
      <c r="L1" s="1"/>
      <c r="M1" s="1"/>
      <c r="N1" s="1"/>
      <c r="O1" s="1"/>
    </row>
    <row r="2" spans="1:15" ht="21" customHeight="1">
      <c r="B2" s="2" t="s">
        <v>22</v>
      </c>
      <c r="C2" s="2"/>
      <c r="D2" s="2"/>
      <c r="E2" s="2"/>
      <c r="F2" s="2"/>
      <c r="G2" s="2"/>
      <c r="H2" s="2"/>
      <c r="I2" s="2"/>
      <c r="J2" s="2"/>
      <c r="K2" s="2"/>
      <c r="L2" s="2"/>
      <c r="M2" s="2"/>
      <c r="N2" s="2"/>
      <c r="O2" s="3" t="s">
        <v>2</v>
      </c>
    </row>
    <row r="3" spans="1:15" ht="6" customHeight="1"/>
    <row r="4" spans="1:15" ht="21" customHeight="1">
      <c r="B4" s="38" t="s">
        <v>107</v>
      </c>
      <c r="C4" s="38"/>
      <c r="D4" s="38"/>
      <c r="E4" s="38"/>
      <c r="F4" s="38"/>
      <c r="G4" s="38"/>
      <c r="H4" s="38"/>
      <c r="I4" s="38"/>
      <c r="J4" s="38"/>
      <c r="K4" s="38"/>
      <c r="L4" s="38"/>
      <c r="M4" s="38"/>
      <c r="N4" s="38"/>
      <c r="O4" s="38"/>
    </row>
    <row r="6" spans="1:15" ht="21" customHeight="1">
      <c r="B6" s="8" t="s">
        <v>108</v>
      </c>
      <c r="C6" s="8"/>
      <c r="D6" s="8"/>
      <c r="E6" s="8"/>
      <c r="F6" s="8"/>
      <c r="G6" s="8"/>
      <c r="H6" s="8"/>
      <c r="I6" s="8"/>
      <c r="J6" s="8"/>
      <c r="K6" s="8"/>
      <c r="L6" s="8"/>
      <c r="M6" s="8"/>
      <c r="N6" s="8"/>
      <c r="O6" s="8"/>
    </row>
    <row r="7" spans="1:15" ht="5" customHeight="1"/>
    <row r="8" spans="1:15">
      <c r="B8" s="27" t="s">
        <v>109</v>
      </c>
      <c r="C8" s="39" t="s">
        <v>110</v>
      </c>
      <c r="D8" s="39"/>
      <c r="E8" s="39"/>
      <c r="F8" s="39"/>
    </row>
    <row r="9" spans="1:15">
      <c r="B9" s="27" t="s">
        <v>111</v>
      </c>
      <c r="C9" s="39" t="s">
        <v>112</v>
      </c>
      <c r="D9" s="39"/>
      <c r="E9" s="39"/>
      <c r="F9" s="39"/>
    </row>
    <row r="10" spans="1:15">
      <c r="B10" s="27" t="s">
        <v>113</v>
      </c>
      <c r="C10" s="39" t="s">
        <v>114</v>
      </c>
      <c r="D10" s="39"/>
      <c r="E10" s="39"/>
      <c r="F10" s="39"/>
    </row>
    <row r="11" spans="1:15">
      <c r="B11" s="27" t="s">
        <v>115</v>
      </c>
      <c r="C11" s="40">
        <v>46308</v>
      </c>
      <c r="D11" s="40"/>
      <c r="E11" s="40"/>
      <c r="F11" s="40"/>
    </row>
    <row r="12" spans="1:15">
      <c r="B12" s="27" t="s">
        <v>116</v>
      </c>
      <c r="C12" s="39" t="s">
        <v>117</v>
      </c>
      <c r="D12" s="39"/>
      <c r="E12" s="39"/>
      <c r="F12" s="39"/>
    </row>
    <row r="14" spans="1:15" ht="21" customHeight="1">
      <c r="B14" s="8" t="s">
        <v>118</v>
      </c>
      <c r="C14" s="8"/>
      <c r="D14" s="8"/>
      <c r="E14" s="8"/>
      <c r="F14" s="8"/>
      <c r="G14" s="8"/>
      <c r="H14" s="8"/>
      <c r="I14" s="8"/>
      <c r="J14" s="8"/>
      <c r="K14" s="8"/>
      <c r="L14" s="8"/>
      <c r="M14" s="8"/>
      <c r="N14" s="8"/>
      <c r="O14" s="8"/>
    </row>
    <row r="15" spans="1:15" ht="5" customHeight="1"/>
    <row r="16" spans="1:15">
      <c r="B16" s="27" t="s">
        <v>119</v>
      </c>
      <c r="C16" s="28" t="s">
        <v>120</v>
      </c>
      <c r="D16" s="28"/>
    </row>
    <row r="17" spans="2:15">
      <c r="B17" s="27" t="s">
        <v>121</v>
      </c>
      <c r="C17" s="35">
        <v>60</v>
      </c>
      <c r="D17" s="7" t="s">
        <v>122</v>
      </c>
    </row>
    <row r="18" spans="2:15">
      <c r="B18" s="27" t="s">
        <v>123</v>
      </c>
      <c r="C18" s="29">
        <v>2</v>
      </c>
      <c r="D18" s="7" t="str">
        <f>DimUnit</f>
        <v>mm</v>
      </c>
    </row>
    <row r="19" spans="2:15">
      <c r="B19" s="27" t="s">
        <v>124</v>
      </c>
      <c r="C19" s="30">
        <v>0.1</v>
      </c>
      <c r="D19" s="7"/>
    </row>
    <row r="20" spans="2:15">
      <c r="B20" s="27" t="s">
        <v>125</v>
      </c>
      <c r="C20" s="29">
        <v>7.85</v>
      </c>
      <c r="D20" s="7" t="s">
        <v>126</v>
      </c>
    </row>
    <row r="22" spans="2:15" ht="21" customHeight="1">
      <c r="B22" s="8" t="s">
        <v>127</v>
      </c>
      <c r="C22" s="8"/>
      <c r="D22" s="8"/>
      <c r="E22" s="8"/>
      <c r="F22" s="8"/>
      <c r="G22" s="8"/>
      <c r="H22" s="8"/>
      <c r="I22" s="8"/>
      <c r="J22" s="8"/>
      <c r="K22" s="8"/>
      <c r="L22" s="8"/>
      <c r="M22" s="8"/>
      <c r="N22" s="8"/>
      <c r="O22" s="8"/>
    </row>
    <row r="23" spans="2:15" ht="5" customHeight="1"/>
    <row r="24" spans="2:15">
      <c r="B24" s="21" t="s">
        <v>128</v>
      </c>
      <c r="C24" s="21"/>
      <c r="D24" s="21"/>
      <c r="E24" s="21"/>
      <c r="F24" s="21"/>
      <c r="G24" s="21"/>
      <c r="H24" s="21"/>
      <c r="I24" s="21"/>
      <c r="J24" s="21"/>
      <c r="K24" s="21"/>
      <c r="L24" s="21"/>
      <c r="M24" s="21"/>
      <c r="N24" s="21"/>
      <c r="O24" s="21"/>
    </row>
    <row r="25" spans="2:15" ht="14" customHeight="1">
      <c r="B25" s="33"/>
      <c r="C25" s="33"/>
      <c r="D25" s="33" t="str">
        <f>DimUnit</f>
        <v>mm</v>
      </c>
      <c r="E25" s="33" t="str">
        <f>DimUnit</f>
        <v>mm</v>
      </c>
      <c r="F25" s="33"/>
      <c r="G25" s="33"/>
      <c r="H25" s="33"/>
      <c r="I25" s="33"/>
      <c r="J25" s="33"/>
      <c r="K25" s="33" t="str">
        <f>Currency&amp;"/kg"</f>
        <v>USD/kg</v>
      </c>
      <c r="L25" s="33"/>
      <c r="M25" s="33"/>
      <c r="N25" s="33" t="str">
        <f>Currency&amp;"/weldment"</f>
        <v>USD/weldment</v>
      </c>
      <c r="O25" s="33"/>
    </row>
    <row r="26" spans="2:15" ht="32" customHeight="1">
      <c r="B26" s="34" t="s">
        <v>95</v>
      </c>
      <c r="C26" s="34" t="s">
        <v>96</v>
      </c>
      <c r="D26" s="34" t="s">
        <v>97</v>
      </c>
      <c r="E26" s="34" t="s">
        <v>98</v>
      </c>
      <c r="F26" s="34" t="s">
        <v>62</v>
      </c>
      <c r="G26" s="34" t="s">
        <v>99</v>
      </c>
      <c r="H26" s="34" t="s">
        <v>100</v>
      </c>
      <c r="I26" s="34" t="s">
        <v>69</v>
      </c>
      <c r="J26" s="34" t="s">
        <v>101</v>
      </c>
      <c r="K26" s="34" t="s">
        <v>102</v>
      </c>
      <c r="L26" s="34" t="s">
        <v>103</v>
      </c>
      <c r="M26" s="34" t="s">
        <v>104</v>
      </c>
      <c r="N26" s="34" t="s">
        <v>105</v>
      </c>
      <c r="O26" s="34" t="s">
        <v>106</v>
      </c>
    </row>
    <row r="27" spans="2:15">
      <c r="B27" s="28" t="s">
        <v>129</v>
      </c>
      <c r="C27" s="28" t="s">
        <v>130</v>
      </c>
      <c r="D27" s="35">
        <v>6</v>
      </c>
      <c r="E27" s="41">
        <v>1280</v>
      </c>
      <c r="F27" s="28" t="s">
        <v>90</v>
      </c>
      <c r="G27" s="42">
        <f>IF(tblWelds[[#This Row],[Weld]]="","",IF(tblWelds[[#This Row],[Joint]]="Fillet",(tblWelds[[#This Row],[Size]]*IF(DimUnit="in",25.4,1))^2/2,(tblWelds[[#This Row],[Size]]*IF(DimUnit="in",25.4,1))^2*TAN(RADIANS(GrooveAngle/2))+RootGap*IF(DimUnit="in",25.4,1)*tblWelds[[#This Row],[Size]]*IF(DimUnit="in",25.4,1))*(1+Reinforce))</f>
        <v>19.8</v>
      </c>
      <c r="H27" s="43">
        <f>IF(tblWelds[[#This Row],[Weld]]="","",tblWelds[[#This Row],[Area (mm2)]]*tblWelds[[#This Row],[Length]]*IF(DimUnit="in",25.4,1)*FillerDensity/1000000)</f>
        <v>0.1989504</v>
      </c>
      <c r="I27" s="36">
        <f>IF(tblWelds[[#This Row],[Weld]]="","",IFERROR(INDEX(tblProcesses[Arc min per kg],MATCH(tblWelds[[#This Row],[Process]],tblProcesses[Process],0)),""))</f>
        <v>18.75</v>
      </c>
      <c r="J27" s="44">
        <f>IF(tblWelds[[#This Row],[Weld]]="","",IFERROR(INDEX(tblProcesses[Operating factor],MATCH(tblWelds[[#This Row],[Process]],tblProcesses[Process],0)),""))</f>
        <v>0.35</v>
      </c>
      <c r="K27" s="36">
        <f>IF(tblWelds[[#This Row],[Weld]]="","",IFERROR(INDEX(tblProcesses[Consumables per kg],MATCH(tblWelds[[#This Row],[Process]],tblProcesses[Process],0)),""))</f>
        <v>3.14506578947368</v>
      </c>
      <c r="L27" s="42">
        <f>IF(tblWelds[[#This Row],[Weld]]="","",IF(tblWelds[[#This Row],[Arc min per kg]]="","",tblWelds[[#This Row],[Weld metal (kg)]]*tblWelds[[#This Row],[Arc min per kg]]))</f>
        <v>3.73032</v>
      </c>
      <c r="M27" s="42">
        <f>IF(tblWelds[[#This Row],[Weld]]="","",IF(OR(tblWelds[[#This Row],[Arc time (min)]]="",N(tblWelds[[#This Row],[Op factor]])=0),"",tblWelds[[#This Row],[Arc time (min)]]/tblWelds[[#This Row],[Op factor]]))</f>
        <v>10.6580571428571</v>
      </c>
      <c r="N27" s="36">
        <f>IF(tblWelds[[#This Row],[Weld]]="","",IF(tblWelds[[#This Row],[Welder time (min)]]="","",tblWelds[[#This Row],[Weld metal (kg)]]*tblWelds[[#This Row],[Cons per kg]]+tblWelds[[#This Row],[Welder time (min)]]/60*WelderRate))</f>
        <v>9.15215781112782</v>
      </c>
      <c r="O27" s="45" t="str">
        <f>IF(tblWelds[[#This Row],[Weld]]="","",IF(tblWelds[[#This Row],[Joint]]="","Missing joint",IF(tblWelds[[#This Row],[Process]]="","Missing process",IF(tblWelds[[#This Row],[Arc min per kg]]="","Process not on Setup list",IF(N(tblWelds[[#This Row],[Length]])=0,"Enter a weld length","OK")))))</f>
        <v>OK</v>
      </c>
    </row>
    <row r="28" spans="2:15">
      <c r="B28" s="28" t="s">
        <v>131</v>
      </c>
      <c r="C28" s="28" t="s">
        <v>132</v>
      </c>
      <c r="D28" s="35">
        <v>10</v>
      </c>
      <c r="E28" s="41">
        <v>800</v>
      </c>
      <c r="F28" s="28" t="s">
        <v>91</v>
      </c>
      <c r="G28" s="42">
        <f>IF(tblWelds[[#This Row],[Weld]]="","",IF(tblWelds[[#This Row],[Joint]]="Fillet",(tblWelds[[#This Row],[Size]]*IF(DimUnit="in",25.4,1))^2/2,(tblWelds[[#This Row],[Size]]*IF(DimUnit="in",25.4,1))^2*TAN(RADIANS(GrooveAngle/2))+RootGap*IF(DimUnit="in",25.4,1)*tblWelds[[#This Row],[Size]]*IF(DimUnit="in",25.4,1))*(1+Reinforce))</f>
        <v>85.5085296108588</v>
      </c>
      <c r="H28" s="43">
        <f>IF(tblWelds[[#This Row],[Weld]]="","",tblWelds[[#This Row],[Area (mm2)]]*tblWelds[[#This Row],[Length]]*IF(DimUnit="in",25.4,1)*FillerDensity/1000000)</f>
        <v>0.536993565956194</v>
      </c>
      <c r="I28" s="36">
        <f>IF(tblWelds[[#This Row],[Weld]]="","",IFERROR(INDEX(tblProcesses[Arc min per kg],MATCH(tblWelds[[#This Row],[Process]],tblProcesses[Process],0)),""))</f>
        <v>13.3333333333333</v>
      </c>
      <c r="J28" s="44">
        <f>IF(tblWelds[[#This Row],[Weld]]="","",IFERROR(INDEX(tblProcesses[Operating factor],MATCH(tblWelds[[#This Row],[Process]],tblProcesses[Process],0)),""))</f>
        <v>0.4</v>
      </c>
      <c r="K28" s="36">
        <f>IF(tblWelds[[#This Row],[Weld]]="","",IFERROR(INDEX(tblProcesses[Consumables per kg],MATCH(tblWelds[[#This Row],[Process]],tblProcesses[Process],0)),""))</f>
        <v>5.08752941176471</v>
      </c>
      <c r="L28" s="42">
        <f>IF(tblWelds[[#This Row],[Weld]]="","",IF(tblWelds[[#This Row],[Arc min per kg]]="","",tblWelds[[#This Row],[Weld metal (kg)]]*tblWelds[[#This Row],[Arc min per kg]]))</f>
        <v>7.15991421274925</v>
      </c>
      <c r="M28" s="42">
        <f>IF(tblWelds[[#This Row],[Weld]]="","",IF(OR(tblWelds[[#This Row],[Arc time (min)]]="",N(tblWelds[[#This Row],[Op factor]])=0),"",tblWelds[[#This Row],[Arc time (min)]]/tblWelds[[#This Row],[Op factor]]))</f>
        <v>17.8997855318731</v>
      </c>
      <c r="N28" s="36">
        <f>IF(tblWelds[[#This Row],[Weld]]="","",IF(tblWelds[[#This Row],[Welder time (min)]]="","",tblWelds[[#This Row],[Weld metal (kg)]]*tblWelds[[#This Row],[Cons per kg]]+tblWelds[[#This Row],[Welder time (min)]]/60*WelderRate))</f>
        <v>17.051798986229</v>
      </c>
      <c r="O28" s="45" t="str">
        <f>IF(tblWelds[[#This Row],[Weld]]="","",IF(tblWelds[[#This Row],[Joint]]="","Missing joint",IF(tblWelds[[#This Row],[Process]]="","Missing process",IF(tblWelds[[#This Row],[Arc min per kg]]="","Process not on Setup list",IF(N(tblWelds[[#This Row],[Length]])=0,"Enter a weld length","OK")))))</f>
        <v>OK</v>
      </c>
    </row>
    <row r="29" spans="2:15">
      <c r="B29" s="28" t="s">
        <v>133</v>
      </c>
      <c r="C29" s="28" t="s">
        <v>130</v>
      </c>
      <c r="D29" s="35">
        <v>5</v>
      </c>
      <c r="E29" s="41">
        <v>1600</v>
      </c>
      <c r="F29" s="28" t="s">
        <v>90</v>
      </c>
      <c r="G29" s="42">
        <f>IF(tblWelds[[#This Row],[Weld]]="","",IF(tblWelds[[#This Row],[Joint]]="Fillet",(tblWelds[[#This Row],[Size]]*IF(DimUnit="in",25.4,1))^2/2,(tblWelds[[#This Row],[Size]]*IF(DimUnit="in",25.4,1))^2*TAN(RADIANS(GrooveAngle/2))+RootGap*IF(DimUnit="in",25.4,1)*tblWelds[[#This Row],[Size]]*IF(DimUnit="in",25.4,1))*(1+Reinforce))</f>
        <v>13.75</v>
      </c>
      <c r="H29" s="43">
        <f>IF(tblWelds[[#This Row],[Weld]]="","",tblWelds[[#This Row],[Area (mm2)]]*tblWelds[[#This Row],[Length]]*IF(DimUnit="in",25.4,1)*FillerDensity/1000000)</f>
        <v>0.1727</v>
      </c>
      <c r="I29" s="36">
        <f>IF(tblWelds[[#This Row],[Weld]]="","",IFERROR(INDEX(tblProcesses[Arc min per kg],MATCH(tblWelds[[#This Row],[Process]],tblProcesses[Process],0)),""))</f>
        <v>18.75</v>
      </c>
      <c r="J29" s="44">
        <f>IF(tblWelds[[#This Row],[Weld]]="","",IFERROR(INDEX(tblProcesses[Operating factor],MATCH(tblWelds[[#This Row],[Process]],tblProcesses[Process],0)),""))</f>
        <v>0.35</v>
      </c>
      <c r="K29" s="36">
        <f>IF(tblWelds[[#This Row],[Weld]]="","",IFERROR(INDEX(tblProcesses[Consumables per kg],MATCH(tblWelds[[#This Row],[Process]],tblProcesses[Process],0)),""))</f>
        <v>3.14506578947368</v>
      </c>
      <c r="L29" s="42">
        <f>IF(tblWelds[[#This Row],[Weld]]="","",IF(tblWelds[[#This Row],[Arc min per kg]]="","",tblWelds[[#This Row],[Weld metal (kg)]]*tblWelds[[#This Row],[Arc min per kg]]))</f>
        <v>3.238125</v>
      </c>
      <c r="M29" s="42">
        <f>IF(tblWelds[[#This Row],[Weld]]="","",IF(OR(tblWelds[[#This Row],[Arc time (min)]]="",N(tblWelds[[#This Row],[Op factor]])=0),"",tblWelds[[#This Row],[Arc time (min)]]/tblWelds[[#This Row],[Op factor]]))</f>
        <v>9.25178571428572</v>
      </c>
      <c r="N29" s="36">
        <f>IF(tblWelds[[#This Row],[Weld]]="","",IF(tblWelds[[#This Row],[Welder time (min)]]="","",tblWelds[[#This Row],[Weld metal (kg)]]*tblWelds[[#This Row],[Cons per kg]]+tblWelds[[#This Row],[Welder time (min)]]/60*WelderRate))</f>
        <v>7.94458143327068</v>
      </c>
      <c r="O29" s="45" t="str">
        <f>IF(tblWelds[[#This Row],[Weld]]="","",IF(tblWelds[[#This Row],[Joint]]="","Missing joint",IF(tblWelds[[#This Row],[Process]]="","Missing process",IF(tblWelds[[#This Row],[Arc min per kg]]="","Process not on Setup list",IF(N(tblWelds[[#This Row],[Length]])=0,"Enter a weld length","OK")))))</f>
        <v>OK</v>
      </c>
    </row>
    <row r="30" spans="2:15">
      <c r="B30" s="28" t="s">
        <v>134</v>
      </c>
      <c r="C30" s="28" t="s">
        <v>130</v>
      </c>
      <c r="D30" s="35">
        <v>4</v>
      </c>
      <c r="E30" s="41">
        <v>960</v>
      </c>
      <c r="F30" s="28" t="s">
        <v>90</v>
      </c>
      <c r="G30" s="42">
        <f>IF(tblWelds[[#This Row],[Weld]]="","",IF(tblWelds[[#This Row],[Joint]]="Fillet",(tblWelds[[#This Row],[Size]]*IF(DimUnit="in",25.4,1))^2/2,(tblWelds[[#This Row],[Size]]*IF(DimUnit="in",25.4,1))^2*TAN(RADIANS(GrooveAngle/2))+RootGap*IF(DimUnit="in",25.4,1)*tblWelds[[#This Row],[Size]]*IF(DimUnit="in",25.4,1))*(1+Reinforce))</f>
        <v>8.8</v>
      </c>
      <c r="H30" s="43">
        <f>IF(tblWelds[[#This Row],[Weld]]="","",tblWelds[[#This Row],[Area (mm2)]]*tblWelds[[#This Row],[Length]]*IF(DimUnit="in",25.4,1)*FillerDensity/1000000)</f>
        <v>0.0663168</v>
      </c>
      <c r="I30" s="36">
        <f>IF(tblWelds[[#This Row],[Weld]]="","",IFERROR(INDEX(tblProcesses[Arc min per kg],MATCH(tblWelds[[#This Row],[Process]],tblProcesses[Process],0)),""))</f>
        <v>18.75</v>
      </c>
      <c r="J30" s="44">
        <f>IF(tblWelds[[#This Row],[Weld]]="","",IFERROR(INDEX(tblProcesses[Operating factor],MATCH(tblWelds[[#This Row],[Process]],tblProcesses[Process],0)),""))</f>
        <v>0.35</v>
      </c>
      <c r="K30" s="36">
        <f>IF(tblWelds[[#This Row],[Weld]]="","",IFERROR(INDEX(tblProcesses[Consumables per kg],MATCH(tblWelds[[#This Row],[Process]],tblProcesses[Process],0)),""))</f>
        <v>3.14506578947368</v>
      </c>
      <c r="L30" s="42">
        <f>IF(tblWelds[[#This Row],[Weld]]="","",IF(tblWelds[[#This Row],[Arc min per kg]]="","",tblWelds[[#This Row],[Weld metal (kg)]]*tblWelds[[#This Row],[Arc min per kg]]))</f>
        <v>1.24344</v>
      </c>
      <c r="M30" s="42">
        <f>IF(tblWelds[[#This Row],[Weld]]="","",IF(OR(tblWelds[[#This Row],[Arc time (min)]]="",N(tblWelds[[#This Row],[Op factor]])=0),"",tblWelds[[#This Row],[Arc time (min)]]/tblWelds[[#This Row],[Op factor]]))</f>
        <v>3.55268571428572</v>
      </c>
      <c r="N30" s="36">
        <f>IF(tblWelds[[#This Row],[Weld]]="","",IF(tblWelds[[#This Row],[Welder time (min)]]="","",tblWelds[[#This Row],[Weld metal (kg)]]*tblWelds[[#This Row],[Cons per kg]]+tblWelds[[#This Row],[Welder time (min)]]/60*WelderRate))</f>
        <v>3.05071927037594</v>
      </c>
      <c r="O30" s="45" t="str">
        <f>IF(tblWelds[[#This Row],[Weld]]="","",IF(tblWelds[[#This Row],[Joint]]="","Missing joint",IF(tblWelds[[#This Row],[Process]]="","Missing process",IF(tblWelds[[#This Row],[Arc min per kg]]="","Process not on Setup list",IF(N(tblWelds[[#This Row],[Length]])=0,"Enter a weld length","OK")))))</f>
        <v>OK</v>
      </c>
    </row>
    <row r="31" spans="2:15">
      <c r="B31" s="28" t="s">
        <v>135</v>
      </c>
      <c r="C31" s="28" t="s">
        <v>130</v>
      </c>
      <c r="D31" s="35">
        <v>8</v>
      </c>
      <c r="E31" s="41">
        <v>560</v>
      </c>
      <c r="F31" s="28" t="s">
        <v>91</v>
      </c>
      <c r="G31" s="42">
        <f>IF(tblWelds[[#This Row],[Weld]]="","",IF(tblWelds[[#This Row],[Joint]]="Fillet",(tblWelds[[#This Row],[Size]]*IF(DimUnit="in",25.4,1))^2/2,(tblWelds[[#This Row],[Size]]*IF(DimUnit="in",25.4,1))^2*TAN(RADIANS(GrooveAngle/2))+RootGap*IF(DimUnit="in",25.4,1)*tblWelds[[#This Row],[Size]]*IF(DimUnit="in",25.4,1))*(1+Reinforce))</f>
        <v>35.2</v>
      </c>
      <c r="H31" s="43">
        <f>IF(tblWelds[[#This Row],[Weld]]="","",tblWelds[[#This Row],[Area (mm2)]]*tblWelds[[#This Row],[Length]]*IF(DimUnit="in",25.4,1)*FillerDensity/1000000)</f>
        <v>0.1547392</v>
      </c>
      <c r="I31" s="36">
        <f>IF(tblWelds[[#This Row],[Weld]]="","",IFERROR(INDEX(tblProcesses[Arc min per kg],MATCH(tblWelds[[#This Row],[Process]],tblProcesses[Process],0)),""))</f>
        <v>13.3333333333333</v>
      </c>
      <c r="J31" s="44">
        <f>IF(tblWelds[[#This Row],[Weld]]="","",IFERROR(INDEX(tblProcesses[Operating factor],MATCH(tblWelds[[#This Row],[Process]],tblProcesses[Process],0)),""))</f>
        <v>0.4</v>
      </c>
      <c r="K31" s="36">
        <f>IF(tblWelds[[#This Row],[Weld]]="","",IFERROR(INDEX(tblProcesses[Consumables per kg],MATCH(tblWelds[[#This Row],[Process]],tblProcesses[Process],0)),""))</f>
        <v>5.08752941176471</v>
      </c>
      <c r="L31" s="42">
        <f>IF(tblWelds[[#This Row],[Weld]]="","",IF(tblWelds[[#This Row],[Arc min per kg]]="","",tblWelds[[#This Row],[Weld metal (kg)]]*tblWelds[[#This Row],[Arc min per kg]]))</f>
        <v>2.06318933333333</v>
      </c>
      <c r="M31" s="42">
        <f>IF(tblWelds[[#This Row],[Weld]]="","",IF(OR(tblWelds[[#This Row],[Arc time (min)]]="",N(tblWelds[[#This Row],[Op factor]])=0),"",tblWelds[[#This Row],[Arc time (min)]]/tblWelds[[#This Row],[Op factor]]))</f>
        <v>5.15797333333333</v>
      </c>
      <c r="N31" s="36">
        <f>IF(tblWelds[[#This Row],[Weld]]="","",IF(tblWelds[[#This Row],[Welder time (min)]]="","",tblWelds[[#This Row],[Weld metal (kg)]]*tblWelds[[#This Row],[Cons per kg]]+tblWelds[[#This Row],[Welder time (min)]]/60*WelderRate))</f>
        <v>4.91361889781961</v>
      </c>
      <c r="O31" s="45" t="str">
        <f>IF(tblWelds[[#This Row],[Weld]]="","",IF(tblWelds[[#This Row],[Joint]]="","Missing joint",IF(tblWelds[[#This Row],[Process]]="","Missing process",IF(tblWelds[[#This Row],[Arc min per kg]]="","Process not on Setup list",IF(N(tblWelds[[#This Row],[Length]])=0,"Enter a weld length","OK")))))</f>
        <v>OK</v>
      </c>
    </row>
    <row r="32" spans="2:15">
      <c r="B32" s="28" t="s">
        <v>136</v>
      </c>
      <c r="C32" s="28" t="s">
        <v>130</v>
      </c>
      <c r="D32" s="35">
        <v>3</v>
      </c>
      <c r="E32" s="41">
        <v>120</v>
      </c>
      <c r="F32" s="28" t="s">
        <v>93</v>
      </c>
      <c r="G32" s="42">
        <f>IF(tblWelds[[#This Row],[Weld]]="","",IF(tblWelds[[#This Row],[Joint]]="Fillet",(tblWelds[[#This Row],[Size]]*IF(DimUnit="in",25.4,1))^2/2,(tblWelds[[#This Row],[Size]]*IF(DimUnit="in",25.4,1))^2*TAN(RADIANS(GrooveAngle/2))+RootGap*IF(DimUnit="in",25.4,1)*tblWelds[[#This Row],[Size]]*IF(DimUnit="in",25.4,1))*(1+Reinforce))</f>
        <v>4.95</v>
      </c>
      <c r="H32" s="43">
        <f>IF(tblWelds[[#This Row],[Weld]]="","",tblWelds[[#This Row],[Area (mm2)]]*tblWelds[[#This Row],[Length]]*IF(DimUnit="in",25.4,1)*FillerDensity/1000000)</f>
        <v>0.0046629</v>
      </c>
      <c r="I32" s="36">
        <f>IF(tblWelds[[#This Row],[Weld]]="","",IFERROR(INDEX(tblProcesses[Arc min per kg],MATCH(tblWelds[[#This Row],[Process]],tblProcesses[Process],0)),""))</f>
        <v>100</v>
      </c>
      <c r="J32" s="44">
        <f>IF(tblWelds[[#This Row],[Weld]]="","",IFERROR(INDEX(tblProcesses[Operating factor],MATCH(tblWelds[[#This Row],[Process]],tblProcesses[Process],0)),""))</f>
        <v>0.2</v>
      </c>
      <c r="K32" s="36">
        <f>IF(tblWelds[[#This Row],[Weld]]="","",IFERROR(INDEX(tblProcesses[Consumables per kg],MATCH(tblWelds[[#This Row],[Process]],tblProcesses[Process],0)),""))</f>
        <v>12.7938775510204</v>
      </c>
      <c r="L32" s="42">
        <f>IF(tblWelds[[#This Row],[Weld]]="","",IF(tblWelds[[#This Row],[Arc min per kg]]="","",tblWelds[[#This Row],[Weld metal (kg)]]*tblWelds[[#This Row],[Arc min per kg]]))</f>
        <v>0.46629</v>
      </c>
      <c r="M32" s="42">
        <f>IF(tblWelds[[#This Row],[Weld]]="","",IF(OR(tblWelds[[#This Row],[Arc time (min)]]="",N(tblWelds[[#This Row],[Op factor]])=0),"",tblWelds[[#This Row],[Arc time (min)]]/tblWelds[[#This Row],[Op factor]]))</f>
        <v>2.33145</v>
      </c>
      <c r="N32" s="36">
        <f>IF(tblWelds[[#This Row],[Weld]]="","",IF(tblWelds[[#This Row],[Welder time (min)]]="","",tblWelds[[#This Row],[Weld metal (kg)]]*tblWelds[[#This Row],[Cons per kg]]+tblWelds[[#This Row],[Welder time (min)]]/60*WelderRate))</f>
        <v>1.92481657163265</v>
      </c>
      <c r="O32" s="45" t="str">
        <f>IF(tblWelds[[#This Row],[Weld]]="","",IF(tblWelds[[#This Row],[Joint]]="","Missing joint",IF(tblWelds[[#This Row],[Process]]="","Missing process",IF(tblWelds[[#This Row],[Arc min per kg]]="","Process not on Setup list",IF(N(tblWelds[[#This Row],[Length]])=0,"Enter a weld length","OK")))))</f>
        <v>OK</v>
      </c>
    </row>
    <row r="34" spans="2:15">
      <c r="B34" s="32" t="s">
        <v>137</v>
      </c>
      <c r="C34" s="32"/>
      <c r="D34" s="32"/>
    </row>
    <row r="35" spans="2:15">
      <c r="B35" s="27" t="s">
        <v>138</v>
      </c>
      <c r="C35" s="43">
        <f>SUM(tblWelds[Weld metal (kg)])</f>
        <v>1.13436286595619</v>
      </c>
      <c r="D35" s="7" t="s">
        <v>83</v>
      </c>
    </row>
    <row r="36" spans="2:15">
      <c r="B36" s="17" t="s">
        <v>139</v>
      </c>
      <c r="C36" s="46">
        <f>SUM(tblWelds[Arc time (min)])</f>
        <v>17.9012785460826</v>
      </c>
      <c r="D36" s="7" t="s">
        <v>140</v>
      </c>
    </row>
    <row r="37" spans="2:15">
      <c r="B37" s="27" t="s">
        <v>141</v>
      </c>
      <c r="C37" s="42">
        <f>SUM(tblWelds[Welder time (min)])</f>
        <v>48.851737436635</v>
      </c>
      <c r="D37" s="7" t="s">
        <v>140</v>
      </c>
    </row>
    <row r="38" spans="2:15">
      <c r="B38" s="27" t="s">
        <v>142</v>
      </c>
      <c r="C38" s="37">
        <f>SUMPRODUCT(tblWelds[Weld metal (kg)],tblWelds[Cons per kg])</f>
        <v>4.95630302114772</v>
      </c>
      <c r="D38" s="7" t="str">
        <f>Currency</f>
        <v>USD</v>
      </c>
    </row>
    <row r="40" spans="2:15" ht="21" customHeight="1">
      <c r="B40" s="8" t="s">
        <v>143</v>
      </c>
      <c r="C40" s="8"/>
      <c r="D40" s="8"/>
      <c r="E40" s="8"/>
      <c r="F40" s="8"/>
      <c r="G40" s="8"/>
      <c r="H40" s="8"/>
      <c r="I40" s="8"/>
      <c r="J40" s="8"/>
      <c r="K40" s="8"/>
      <c r="L40" s="8"/>
      <c r="M40" s="8"/>
      <c r="N40" s="8"/>
      <c r="O40" s="8"/>
    </row>
    <row r="41" spans="2:15" ht="5" customHeight="1"/>
    <row r="42" spans="2:15">
      <c r="B42" s="27" t="s">
        <v>144</v>
      </c>
      <c r="C42" s="35">
        <v>35</v>
      </c>
      <c r="D42" s="7" t="s">
        <v>140</v>
      </c>
    </row>
    <row r="43" spans="2:15">
      <c r="B43" s="27" t="s">
        <v>145</v>
      </c>
      <c r="C43" s="35">
        <v>12</v>
      </c>
      <c r="D43" s="7" t="s">
        <v>140</v>
      </c>
    </row>
    <row r="44" spans="2:15">
      <c r="B44" s="27" t="s">
        <v>146</v>
      </c>
      <c r="C44" s="35">
        <v>15</v>
      </c>
      <c r="D44" s="7" t="s">
        <v>140</v>
      </c>
    </row>
    <row r="45" spans="2:15">
      <c r="B45" s="27" t="s">
        <v>147</v>
      </c>
      <c r="C45" s="29">
        <v>8</v>
      </c>
      <c r="D45" s="7" t="str">
        <f>Currency</f>
        <v>USD</v>
      </c>
    </row>
    <row r="46" spans="2:15">
      <c r="B46" s="27" t="s">
        <v>148</v>
      </c>
      <c r="C46" s="29">
        <v>1.5</v>
      </c>
      <c r="D46" s="7" t="s">
        <v>149</v>
      </c>
    </row>
    <row r="47" spans="2:15">
      <c r="B47" s="27" t="s">
        <v>150</v>
      </c>
      <c r="C47" s="41">
        <v>650</v>
      </c>
      <c r="D47" s="7" t="str">
        <f>Currency</f>
        <v>USD</v>
      </c>
    </row>
    <row r="48" spans="2:15">
      <c r="B48" s="17" t="s">
        <v>151</v>
      </c>
      <c r="C48" s="46">
        <f>WeldMin+FitUpMin+HandleMin+CleanMin</f>
        <v>110.851737436635</v>
      </c>
      <c r="D48" s="7" t="s">
        <v>140</v>
      </c>
    </row>
    <row r="49" spans="2:15">
      <c r="B49" s="27" t="s">
        <v>152</v>
      </c>
      <c r="C49" s="36">
        <f>LabourMin/60*WelderRate</f>
        <v>88.681389949308</v>
      </c>
      <c r="D49" s="7" t="str">
        <f>Currency</f>
        <v>USD</v>
      </c>
    </row>
    <row r="50" spans="2:15">
      <c r="B50" s="27" t="s">
        <v>153</v>
      </c>
      <c r="C50" s="36">
        <f>FixSetupH*WelderRate</f>
        <v>72</v>
      </c>
      <c r="D50" s="7" t="str">
        <f>Currency</f>
        <v>USD</v>
      </c>
    </row>
    <row r="52" spans="2:15" ht="21" customHeight="1">
      <c r="B52" s="8" t="s">
        <v>154</v>
      </c>
      <c r="C52" s="8"/>
      <c r="D52" s="8"/>
      <c r="E52" s="8"/>
      <c r="F52" s="8"/>
      <c r="G52" s="8"/>
      <c r="H52" s="8"/>
      <c r="I52" s="8"/>
      <c r="J52" s="8"/>
      <c r="K52" s="8"/>
      <c r="L52" s="8"/>
      <c r="M52" s="8"/>
      <c r="N52" s="8"/>
      <c r="O52" s="8"/>
    </row>
    <row r="53" spans="2:15" ht="5" customHeight="1"/>
    <row r="54" spans="2:15">
      <c r="B54" s="47" t="s">
        <v>155</v>
      </c>
      <c r="C54" s="34" t="s">
        <v>156</v>
      </c>
      <c r="D54" s="48">
        <v>5</v>
      </c>
      <c r="E54" s="48">
        <v>10</v>
      </c>
      <c r="F54" s="48">
        <v>25</v>
      </c>
      <c r="G54" s="48">
        <v>50</v>
      </c>
      <c r="H54" s="48">
        <v>100</v>
      </c>
    </row>
    <row r="55" spans="2:15">
      <c r="B55" s="27" t="s">
        <v>157</v>
      </c>
      <c r="C55" s="7" t="s">
        <v>158</v>
      </c>
      <c r="D55" s="49">
        <f>CEILING($D$54/FPY,1)</f>
        <v>6</v>
      </c>
      <c r="E55" s="49">
        <f>CEILING($E$54/FPY,1)</f>
        <v>11</v>
      </c>
      <c r="F55" s="49">
        <f>CEILING($F$54/FPY,1)</f>
        <v>27</v>
      </c>
      <c r="G55" s="49">
        <f>CEILING($G$54/FPY,1)</f>
        <v>53</v>
      </c>
      <c r="H55" s="49">
        <f>CEILING($H$54/FPY,1)</f>
        <v>105</v>
      </c>
    </row>
    <row r="56" spans="2:15">
      <c r="B56" s="27" t="s">
        <v>159</v>
      </c>
      <c r="C56" s="7" t="str">
        <f>Currency&amp;"/weldment"</f>
        <v>USD/weldment</v>
      </c>
      <c r="D56" s="36">
        <f>ConsPP*$D$55/$D$54</f>
        <v>5.94756362537726</v>
      </c>
      <c r="E56" s="36">
        <f>ConsPP*$E$55/$E$54</f>
        <v>5.45193332326249</v>
      </c>
      <c r="F56" s="36">
        <f>ConsPP*$F$55/$F$54</f>
        <v>5.35280726283954</v>
      </c>
      <c r="G56" s="36">
        <f>ConsPP*$G$55/$G$54</f>
        <v>5.25368120241658</v>
      </c>
      <c r="H56" s="36">
        <f>ConsPP*$H$55/$H$54</f>
        <v>5.20411817220511</v>
      </c>
    </row>
    <row r="57" spans="2:15">
      <c r="B57" s="27" t="s">
        <v>160</v>
      </c>
      <c r="C57" s="7" t="str">
        <f>Currency&amp;"/weldment"</f>
        <v>USD/weldment</v>
      </c>
      <c r="D57" s="36">
        <f>LabourPP*$D$55/$D$54</f>
        <v>106.41766793917</v>
      </c>
      <c r="E57" s="36">
        <f>LabourPP*$E$55/$E$54</f>
        <v>97.5495289442388</v>
      </c>
      <c r="F57" s="36">
        <f>LabourPP*$F$55/$F$54</f>
        <v>95.7759011452527</v>
      </c>
      <c r="G57" s="36">
        <f>LabourPP*$G$55/$G$54</f>
        <v>94.0022733462665</v>
      </c>
      <c r="H57" s="36">
        <f>LabourPP*$H$55/$H$54</f>
        <v>93.1154594467734</v>
      </c>
    </row>
    <row r="58" spans="2:15">
      <c r="B58" s="27" t="s">
        <v>161</v>
      </c>
      <c r="C58" s="7" t="str">
        <f>Currency&amp;"/weldment"</f>
        <v>USD/weldment</v>
      </c>
      <c r="D58" s="36">
        <f>InspectPP*$D$55/$D$54</f>
        <v>9.6</v>
      </c>
      <c r="E58" s="36">
        <f>InspectPP*$E$55/$E$54</f>
        <v>8.8</v>
      </c>
      <c r="F58" s="36">
        <f>InspectPP*$F$55/$F$54</f>
        <v>8.64</v>
      </c>
      <c r="G58" s="36">
        <f>InspectPP*$G$55/$G$54</f>
        <v>8.48</v>
      </c>
      <c r="H58" s="36">
        <f>InspectPP*$H$55/$H$54</f>
        <v>8.4</v>
      </c>
    </row>
    <row r="59" spans="2:15">
      <c r="B59" s="27" t="s">
        <v>162</v>
      </c>
      <c r="C59" s="7" t="str">
        <f>Currency&amp;"/weldment"</f>
        <v>USD/weldment</v>
      </c>
      <c r="D59" s="36">
        <f>SetupCost/$D$54</f>
        <v>14.4</v>
      </c>
      <c r="E59" s="36">
        <f>SetupCost/$E$54</f>
        <v>7.2</v>
      </c>
      <c r="F59" s="36">
        <f>SetupCost/$F$54</f>
        <v>2.88</v>
      </c>
      <c r="G59" s="36">
        <f>SetupCost/$G$54</f>
        <v>1.44</v>
      </c>
      <c r="H59" s="36">
        <f>SetupCost/$H$54</f>
        <v>0.72</v>
      </c>
    </row>
    <row r="60" spans="2:15">
      <c r="B60" s="27" t="s">
        <v>163</v>
      </c>
      <c r="C60" s="7" t="str">
        <f>Currency&amp;"/weldment"</f>
        <v>USD/weldment</v>
      </c>
      <c r="D60" s="36">
        <f>FixtureCost/$D$54</f>
        <v>130</v>
      </c>
      <c r="E60" s="36">
        <f>FixtureCost/$E$54</f>
        <v>65</v>
      </c>
      <c r="F60" s="36">
        <f>FixtureCost/$F$54</f>
        <v>26</v>
      </c>
      <c r="G60" s="36">
        <f>FixtureCost/$G$54</f>
        <v>13</v>
      </c>
      <c r="H60" s="36">
        <f>FixtureCost/$H$54</f>
        <v>6.5</v>
      </c>
    </row>
    <row r="61" spans="2:15">
      <c r="B61" s="27" t="s">
        <v>164</v>
      </c>
      <c r="C61" s="7" t="str">
        <f>Currency&amp;"/weldment"</f>
        <v>USD/weldment</v>
      </c>
      <c r="D61" s="36">
        <f>($D$57+$D$59)*Overhead</f>
        <v>24.1635335878339</v>
      </c>
      <c r="E61" s="36">
        <f>($E$57+$E$59)*Overhead</f>
        <v>20.9499057888478</v>
      </c>
      <c r="F61" s="36">
        <f>($F$57+$F$59)*Overhead</f>
        <v>19.7311802290505</v>
      </c>
      <c r="G61" s="36">
        <f>($G$57+$G$59)*Overhead</f>
        <v>19.0884546692533</v>
      </c>
      <c r="H61" s="36">
        <f>($H$57+$H$59)*Overhead</f>
        <v>18.7670918893547</v>
      </c>
    </row>
    <row r="62" spans="2:15">
      <c r="B62" s="17" t="s">
        <v>165</v>
      </c>
      <c r="C62" s="7" t="str">
        <f>Currency&amp;"/weldment"</f>
        <v>USD/weldment</v>
      </c>
      <c r="D62" s="50">
        <f>$D$56+$D$57+$D$58+$D$59+$D$60+$D$61</f>
        <v>290.528765152381</v>
      </c>
      <c r="E62" s="50">
        <f>$E$56+$E$57+$E$58+$E$59+$E$60+$E$61</f>
        <v>204.951368056349</v>
      </c>
      <c r="F62" s="50">
        <f>$F$56+$F$57+$F$58+$F$59+$F$60+$F$61</f>
        <v>158.379888637143</v>
      </c>
      <c r="G62" s="50">
        <f>$G$56+$G$57+$G$58+$G$59+$G$60+$G$61</f>
        <v>141.264409217936</v>
      </c>
      <c r="H62" s="50">
        <f>$H$56+$H$57+$H$58+$H$59+$H$60+$H$61</f>
        <v>132.706669508333</v>
      </c>
    </row>
    <row r="63" spans="2:15">
      <c r="B63" s="27" t="s">
        <v>166</v>
      </c>
      <c r="C63" s="7" t="str">
        <f>Currency&amp;"/weldment"</f>
        <v>USD/weldment</v>
      </c>
      <c r="D63" s="51">
        <f>CEILING($D$62/(1-Margin),RoundStep)</f>
        <v>363.5</v>
      </c>
      <c r="E63" s="51">
        <f>CEILING($E$62/(1-Margin),RoundStep)</f>
        <v>256.5</v>
      </c>
      <c r="F63" s="51">
        <f>CEILING($F$62/(1-Margin),RoundStep)</f>
        <v>198</v>
      </c>
      <c r="G63" s="51">
        <f>CEILING($G$62/(1-Margin),RoundStep)</f>
        <v>177</v>
      </c>
      <c r="H63" s="51">
        <f>CEILING($H$62/(1-Margin),RoundStep)</f>
        <v>166</v>
      </c>
    </row>
    <row r="64" spans="2:15">
      <c r="B64" s="27" t="s">
        <v>167</v>
      </c>
      <c r="C64" s="7" t="str">
        <f>Currency</f>
        <v>USD</v>
      </c>
      <c r="D64" s="36">
        <f>$D$63*$D$54</f>
        <v>1817.5</v>
      </c>
      <c r="E64" s="36">
        <f>$E$63*$E$54</f>
        <v>2565</v>
      </c>
      <c r="F64" s="36">
        <f>$F$63*$F$54</f>
        <v>4950</v>
      </c>
      <c r="G64" s="36">
        <f>$G$63*$G$54</f>
        <v>8850</v>
      </c>
      <c r="H64" s="36">
        <f>$H$63*$H$54</f>
        <v>16600</v>
      </c>
    </row>
    <row r="65" spans="2:8">
      <c r="B65" s="27" t="s">
        <v>168</v>
      </c>
      <c r="C65" s="7" t="s">
        <v>169</v>
      </c>
      <c r="D65" s="52">
        <f>($D$63-$D$62)/$D$63</f>
        <v>0.20074617564682</v>
      </c>
      <c r="E65" s="52">
        <f>($E$63-$E$62)/$E$63</f>
        <v>0.200969325316378</v>
      </c>
      <c r="F65" s="52">
        <f>($F$63-$F$62)/$F$63</f>
        <v>0.200101572539683</v>
      </c>
      <c r="G65" s="52">
        <f>($G$63-$G$62)/$G$63</f>
        <v>0.201895993119003</v>
      </c>
      <c r="H65" s="52">
        <f>($H$63-$H$62)/$H$63</f>
        <v>0.200562231877511</v>
      </c>
    </row>
    <row r="66" spans="2:8">
      <c r="B66" s="27" t="s">
        <v>170</v>
      </c>
      <c r="C66" s="7" t="s">
        <v>149</v>
      </c>
      <c r="D66" s="46">
        <f>FixSetupH+$D$55*LabourMin/60</f>
        <v>12.5851737436635</v>
      </c>
      <c r="E66" s="46">
        <f>FixSetupH+$E$55*LabourMin/60</f>
        <v>21.8228185300498</v>
      </c>
      <c r="F66" s="46">
        <f>FixSetupH+$F$55*LabourMin/60</f>
        <v>51.3832818464858</v>
      </c>
      <c r="G66" s="46">
        <f>FixSetupH+$G$55*LabourMin/60</f>
        <v>99.4190347356943</v>
      </c>
      <c r="H66" s="46">
        <f>FixSetupH+$H$55*LabourMin/60</f>
        <v>195.490540514111</v>
      </c>
    </row>
  </sheetData>
  <mergeCells count="16">
    <mergeCell ref="A1:O1"/>
    <mergeCell ref="B2:N2"/>
    <mergeCell ref="B4:O4"/>
    <mergeCell ref="B6:O6"/>
    <mergeCell ref="C8:F8"/>
    <mergeCell ref="C9:F9"/>
    <mergeCell ref="C10:F10"/>
    <mergeCell ref="C11:F11"/>
    <mergeCell ref="C12:F12"/>
    <mergeCell ref="B14:O14"/>
    <mergeCell ref="C16:D16"/>
    <mergeCell ref="B22:O22"/>
    <mergeCell ref="B24:O24"/>
    <mergeCell ref="B34:D34"/>
    <mergeCell ref="B40:O40"/>
    <mergeCell ref="B52:O52"/>
  </mergeCells>
  <conditionalFormatting sqref="O27:O92">
    <cfRule type="expression" dxfId="3" priority="1">
      <formula>$O27="OK"</formula>
    </cfRule>
    <cfRule type="expression" dxfId="1" priority="2">
      <formula>AND($O27&lt;&gt;"",$O27&lt;&gt;"OK")</formula>
    </cfRule>
  </conditionalFormatting>
  <dataValidations count="26">
    <dataValidation type="textLength" allowBlank="1" showInputMessage="1" showErrorMessage="1" errorTitle="Check this entry" error="Text up to 80 characters." promptTitle="Customer" prompt="Text up to 80 characters." sqref="C8">
      <formula1>0</formula1>
      <formula2>80</formula2>
    </dataValidation>
    <dataValidation type="textLength" allowBlank="1" showInputMessage="1" showErrorMessage="1" errorTitle="Check this entry" error="Text up to 40 characters." promptTitle="Weldment number" prompt="Text up to 40 characters." sqref="C9">
      <formula1>0</formula1>
      <formula2>40</formula2>
    </dataValidation>
    <dataValidation type="textLength" allowBlank="1" showInputMessage="1" showErrorMessage="1" errorTitle="Check this entry" error="Text up to 120 characters." promptTitle="Description" prompt="Text up to 120 characters." sqref="C10">
      <formula1>0</formula1>
      <formula2>120</formula2>
    </dataValidation>
    <dataValidation type="date" allowBlank="1" showInputMessage="1" showErrorMessage="1" errorTitle="Check this entry" error="Enter a date between 01 Jan 2000 and 31 Dec 2100." promptTitle="Date" prompt="Enter a date between 01 Jan 2000 and 31 Dec 2100." sqref="C11">
      <formula1>36526</formula1>
      <formula2>73415</formula2>
    </dataValidation>
    <dataValidation type="textLength" allowBlank="1" showInputMessage="1" showErrorMessage="1" errorTitle="Check this entry" error="Text up to 60 characters." promptTitle="Prepared by" prompt="Text up to 60 characters." sqref="C12">
      <formula1>0</formula1>
      <formula2>60</formula2>
    </dataValidation>
    <dataValidation type="list" allowBlank="1" showInputMessage="1" showErrorMessage="1" errorTitle="Check this entry" error="Pick one of: mm, in." promptTitle="Weld sizes and lengths in" prompt="Unit for fillet leg, plate thickness, root gap and weld length (1 in = 25.4 mm). Pick one of: mm, in." sqref="C16">
      <formula1>"mm,in"</formula1>
    </dataValidation>
    <dataValidation type="decimal" allowBlank="1" showInputMessage="1" showErrorMessage="1" errorTitle="Check this entry" error="Enter a number from 0 to 120." promptTitle="V-butt included angle" prompt="Enter a number from 0 to 120." sqref="C17">
      <formula1>0</formula1>
      <formula2>120</formula2>
    </dataValidation>
    <dataValidation type="decimal" allowBlank="1" showInputMessage="1" showErrorMessage="1" errorTitle="Check this entry" error="Enter a number from 0 to 100." promptTitle="V-butt root gap" prompt="Enter a number from 0 to 100." sqref="C18">
      <formula1>0</formula1>
      <formula2>100</formula2>
    </dataValidation>
    <dataValidation type="decimal" allowBlank="1" showInputMessage="1" showErrorMessage="1" errorTitle="Check this entry" error="Enter a percentage from 0% to 200% (type 85% or 0.85)." promptTitle="Excess weld metal (reinforcem..." prompt="Added to the theoretical cross-section. Enter a percentage from 0% to 200% (type 85% or 0.85)." sqref="C19">
      <formula1>0</formula1>
      <formula2>2</formula2>
    </dataValidation>
    <dataValidation type="decimal" allowBlank="1" showInputMessage="1" showErrorMessage="1" errorTitle="Check this entry" error="Enter a number from 0.5 to 25." promptTitle="Weld metal density" prompt="7.85 for carbon steel; check yours for stainless or aluminium. Enter a number from 0.5 to 25." sqref="C20">
      <formula1>0.5</formula1>
      <formula2>25</formula2>
    </dataValidation>
    <dataValidation type="textLength" allowBlank="1" showInputMessage="1" showErrorMessage="1" errorTitle="Check this entry" error="Text up to 80 characters." promptTitle="Weld" prompt="Text up to 80 characters." sqref="B27:B92">
      <formula1>0</formula1>
      <formula2>80</formula2>
    </dataValidation>
    <dataValidation type="list" allowBlank="1" showInputMessage="1" showErrorMessage="1" errorTitle="Check this entry" error="Pick one of: Fillet, Single-V butt." promptTitle="Joint" prompt="Pick one of: Fillet, Single-V butt." sqref="C27:C92">
      <formula1>"Fillet,Single-V butt"</formula1>
    </dataValidation>
    <dataValidation type="decimal" allowBlank="1" showInputMessage="1" showErrorMessage="1" errorTitle="Check this entry" error="Enter a number from 0.01 to 1,000." promptTitle="Size" prompt="Fillet leg length, or plate thickness for a single-V butt weld. Enter a number from 0.01 to 1,000." sqref="D27:D92">
      <formula1>0.01</formula1>
      <formula2>1000</formula2>
    </dataValidation>
    <dataValidation type="decimal" allowBlank="1" showInputMessage="1" showErrorMessage="1" errorTitle="Check this entry" error="Enter a number from 0 to 10,000,000." promptTitle="Length" prompt="Total length of this weld (or group of identical welds) on one weldment. Enter a number from 0 to 10,000,000." sqref="E27:E92">
      <formula1>0</formula1>
      <formula2>10000000.0</formula2>
    </dataValidation>
    <dataValidation type="list" allowBlank="1" showInputMessage="1" showErrorMessage="1" errorTitle="Check this entry" error="Pick from the list (edit the list on Setup: Processes)." promptTitle="Process" prompt="Pick from the list (edit the list on Setup: Processes)." sqref="F27:F92">
      <formula1>Processes</formula1>
    </dataValidation>
    <dataValidation type="decimal" allowBlank="1" showInputMessage="1" showErrorMessage="1" errorTitle="Check this entry" error="Enter a number from 0 to 100,000." promptTitle="Fit-up and tack, per weldment" prompt="Enter a number from 0 to 100,000." sqref="C42">
      <formula1>0</formula1>
      <formula2>100000</formula2>
    </dataValidation>
    <dataValidation type="decimal" allowBlank="1" showInputMessage="1" showErrorMessage="1" errorTitle="Check this entry" error="Enter a number from 0 to 100,000." promptTitle="Handling, turning and positio..." prompt="Enter a number from 0 to 100,000." sqref="C43">
      <formula1>0</formula1>
      <formula2>100000</formula2>
    </dataValidation>
    <dataValidation type="decimal" allowBlank="1" showInputMessage="1" showErrorMessage="1" errorTitle="Check this entry" error="Enter a number from 0 to 100,000." promptTitle="Cleaning, grinding and spatte..." prompt="Enter a number from 0 to 100,000." sqref="C44">
      <formula1>0</formula1>
      <formula2>100000</formula2>
    </dataValidation>
    <dataValidation type="decimal" allowBlank="1" showInputMessage="1" showErrorMessage="1" errorTitle="Check this entry" error="Enter a number from 0 to 1,000,000." promptTitle="Inspection per weldment (visu..." prompt="Enter a number from 0 to 1,000,000." sqref="C45">
      <formula1>0</formula1>
      <formula2>1000000.0</formula2>
    </dataValidation>
    <dataValidation type="decimal" allowBlank="1" showInputMessage="1" showErrorMessage="1" errorTitle="Check this entry" error="Enter a number from 0 to 1,000." promptTitle="Fixture setup per batch" prompt="Enter a number from 0 to 1,000." sqref="C46">
      <formula1>0</formula1>
      <formula2>1000</formula2>
    </dataValidation>
    <dataValidation type="decimal" allowBlank="1" showInputMessage="1" showErrorMessage="1" errorTitle="Check this entry" error="Enter a number from 0 to 100,000,000." promptTitle="Fixture or jig (one-off, spre..." prompt="Enter a number from 0 to 100,000,000." sqref="C47">
      <formula1>0</formula1>
      <formula2>100000000.0</formula2>
    </dataValidation>
    <dataValidation type="whole" allowBlank="1" showInputMessage="1" showErrorMessage="1" errorTitle="Check this entry" error="Enter a whole number from 1 to 10,000,000." promptTitle="Quantity" prompt="Accepted weldments in the batch. Enter a whole number from 1 to 10,000,000." sqref="D54">
      <formula1>1</formula1>
      <formula2>10000000</formula2>
    </dataValidation>
    <dataValidation type="whole" allowBlank="1" showInputMessage="1" showErrorMessage="1" errorTitle="Check this entry" error="Enter a whole number from 1 to 10,000,000." promptTitle="Quantity" prompt="Accepted weldments in the batch. Enter a whole number from 1 to 10,000,000." sqref="E54">
      <formula1>1</formula1>
      <formula2>10000000</formula2>
    </dataValidation>
    <dataValidation type="whole" allowBlank="1" showInputMessage="1" showErrorMessage="1" errorTitle="Check this entry" error="Enter a whole number from 1 to 10,000,000." promptTitle="Quantity" prompt="Accepted weldments in the batch. Enter a whole number from 1 to 10,000,000." sqref="F54">
      <formula1>1</formula1>
      <formula2>10000000</formula2>
    </dataValidation>
    <dataValidation type="whole" allowBlank="1" showInputMessage="1" showErrorMessage="1" errorTitle="Check this entry" error="Enter a whole number from 1 to 10,000,000." promptTitle="Quantity" prompt="Accepted weldments in the batch. Enter a whole number from 1 to 10,000,000." sqref="G54">
      <formula1>1</formula1>
      <formula2>10000000</formula2>
    </dataValidation>
    <dataValidation type="whole" allowBlank="1" showInputMessage="1" showErrorMessage="1" errorTitle="Check this entry" error="Enter a whole number from 1 to 10,000,000." promptTitle="Quantity" prompt="Accepted weldments in the batch. Enter a whole number from 1 to 10,000,000." sqref="H54">
      <formula1>1</formula1>
      <formula2>10000000</formula2>
    </dataValidation>
  </dataValidations>
  <hyperlinks>
    <hyperlink ref="O2" r:id="rId1" tooltip="Free manufacturing calculators and templates"/>
  </hyperlinks>
  <pageMargins left="0.4" right="0.4" top="0.7" bottom="0.65" header="0.3" footer="0.3"/>
  <pageSetup fitToHeight="0" orientation="landscape"/>
  <headerFooter>
    <oddHeader>&amp;L&amp;8MFG Calcs - Welding Cost Estimator&amp;R&amp;8&amp;A</oddHeader>
    <oddFooter>&amp;L&amp;8mfgcalcs.com - free manufacturing templates&amp;R&amp;8Page &amp;P of &amp;N</oddFooter>
  </headerFooter>
  <rowBreaks count="1" manualBreakCount="1">
    <brk id="39"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45"/>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171</v>
      </c>
      <c r="C4" s="41">
        <v>25</v>
      </c>
    </row>
    <row r="5" spans="1:12" x14ac:dyDescent="0.25">
      <c r="B5" s="53" t="str">
        <f>"Showing a batch of "&amp;TEXT(INDEX('Weld Estimate'!$D$54:$H$54,SelIdx),"#,##0")&amp;" x "&amp;PartNo&amp;" for "&amp;Customer&amp;". Pick another batch in the yellow cell."</f>
        <v>Showing a batch of 25 x OPM-BF-1120 for Okafor Packaging Machines (example). Pick another batch in the yellow cell.</v>
      </c>
      <c r="C5" s="53"/>
      <c r="D5" s="53"/>
      <c r="E5" s="53"/>
      <c r="F5" s="53"/>
      <c r="G5" s="53"/>
      <c r="H5" s="53"/>
      <c r="I5" s="53"/>
      <c r="J5" s="53"/>
      <c r="K5" s="53"/>
      <c r="L5" s="53"/>
    </row>
    <row r="7" spans="1:12" ht="18" customHeight="1" x14ac:dyDescent="0.25">
      <c r="B7" s="54" t="str">
        <f>"PRICE PER WELDMENT ("&amp;Currency&amp;")"</f>
        <v>PRICE PER WELDMENT (USD)</v>
      </c>
      <c r="C7" s="54"/>
      <c r="D7" s="54" t="str">
        <f>"COST PER WELDMENT ("&amp;Currency&amp;")"</f>
        <v>COST PER WELDMENT (USD)</v>
      </c>
      <c r="E7" s="54"/>
      <c r="F7" s="54"/>
      <c r="G7" s="54" t="s">
        <v>172</v>
      </c>
      <c r="H7" s="54"/>
      <c r="I7" s="54"/>
      <c r="J7" s="54" t="s">
        <v>173</v>
      </c>
      <c r="K7" s="54"/>
      <c r="L7" s="54"/>
    </row>
    <row r="8" spans="1:12" ht="21" customHeight="1" x14ac:dyDescent="0.25">
      <c r="B8" s="55">
        <f>INDEX('Weld Estimate'!$D$63:$H$63,SelIdx)</f>
        <v>198</v>
      </c>
      <c r="C8" s="55"/>
      <c r="D8" s="55">
        <f>INDEX('Weld Estimate'!$D$62:$H$62,SelIdx)</f>
        <v>158.379888637143</v>
      </c>
      <c r="E8" s="55"/>
      <c r="F8" s="55"/>
      <c r="G8" s="56">
        <f>INDEX('Weld Estimate'!$D$65:$H$65,SelIdx)</f>
        <v>0.200101572539683</v>
      </c>
      <c r="H8" s="56"/>
      <c r="I8" s="56"/>
      <c r="J8" s="57">
        <f>ArcMin</f>
        <v>17.9012785460826</v>
      </c>
      <c r="K8" s="57"/>
      <c r="L8" s="57"/>
    </row>
    <row r="9" spans="1:12" ht="21" customHeight="1" x14ac:dyDescent="0.25">
      <c r="B9" s="55"/>
      <c r="C9" s="55"/>
      <c r="D9" s="55"/>
      <c r="E9" s="55"/>
      <c r="F9" s="55"/>
      <c r="G9" s="56"/>
      <c r="H9" s="56"/>
      <c r="I9" s="56"/>
      <c r="J9" s="57"/>
      <c r="K9" s="57"/>
      <c r="L9" s="57"/>
    </row>
    <row r="10" spans="1:12" x14ac:dyDescent="0.25">
      <c r="B10" s="58" t="s">
        <v>174</v>
      </c>
      <c r="C10" s="58"/>
      <c r="D10" s="58" t="s">
        <v>175</v>
      </c>
      <c r="E10" s="58"/>
      <c r="F10" s="58"/>
      <c r="G10" s="59">
        <f>Margin</f>
        <v>0.2</v>
      </c>
      <c r="H10" s="59"/>
      <c r="I10" s="59"/>
      <c r="J10" s="58" t="str">
        <f>"Weld metal "&amp;TEXT(WeldKg,"0.00")&amp;" kg, welder "&amp;TEXT(LabourMin,"0")&amp;" min"</f>
        <v>Weld metal 1.13 kg, welder 111 min</v>
      </c>
      <c r="K10" s="58"/>
      <c r="L10" s="58"/>
    </row>
    <row r="11" spans="1:12" ht="18" customHeight="1" x14ac:dyDescent="0.25">
      <c r="B11" s="60"/>
      <c r="C11" s="60"/>
      <c r="D11" s="60"/>
      <c r="E11" s="60"/>
      <c r="F11" s="60"/>
      <c r="G11" s="60" t="str">
        <f>IF(NOT(ISNUMBER(KpiMargin)),"No data",IF(KpiMargin&gt;=(Margin),"On target",IF(KpiMargin&gt;=(Margin)*(1-0.02),"Near target","Below target")))</f>
        <v>On target</v>
      </c>
      <c r="H11" s="60"/>
      <c r="I11" s="60"/>
      <c r="J11" s="60"/>
      <c r="K11" s="60"/>
      <c r="L11" s="60"/>
    </row>
    <row r="30" spans="2:8" x14ac:dyDescent="0.25">
      <c r="B30" s="32" t="s">
        <v>176</v>
      </c>
      <c r="C30" s="32"/>
      <c r="D30" s="32"/>
      <c r="E30" s="32"/>
      <c r="F30" s="32"/>
      <c r="G30" s="32"/>
      <c r="H30" s="32"/>
    </row>
    <row r="31" spans="2:8" ht="20" customHeight="1" x14ac:dyDescent="0.25">
      <c r="B31" s="47" t="s">
        <v>177</v>
      </c>
      <c r="C31" s="34" t="s">
        <v>178</v>
      </c>
      <c r="D31" s="34"/>
      <c r="E31" s="34" t="s">
        <v>179</v>
      </c>
      <c r="F31" s="34"/>
      <c r="G31" s="34" t="s">
        <v>180</v>
      </c>
      <c r="H31" s="34"/>
    </row>
    <row r="32" spans="2:8" ht="14" customHeight="1" x14ac:dyDescent="0.25">
      <c r="B32" s="33"/>
      <c r="C32" s="33" t="str">
        <f>Currency&amp;"/weldment"</f>
        <v>USD/weldment</v>
      </c>
      <c r="D32" s="33"/>
      <c r="E32" s="33" t="s">
        <v>181</v>
      </c>
      <c r="F32" s="33"/>
      <c r="G32" s="33" t="str">
        <f>Currency</f>
        <v>USD</v>
      </c>
      <c r="H32" s="33"/>
    </row>
    <row r="33" spans="2:9" x14ac:dyDescent="0.25">
      <c r="B33" s="61" t="s">
        <v>159</v>
      </c>
      <c r="C33" s="36">
        <f>CHOOSE(1,INDEX('Weld Estimate'!$D$56:$H$56,SelIdx),INDEX('Weld Estimate'!$D$57:$H$57,SelIdx),INDEX('Weld Estimate'!$D$58:$H$58,SelIdx),INDEX('Weld Estimate'!$D$59:$H$59,SelIdx),INDEX('Weld Estimate'!$D$60:$H$60,SelIdx),INDEX('Weld Estimate'!$D$61:$H$61,SelIdx))</f>
        <v>5.35280726283954</v>
      </c>
      <c r="D33" s="36"/>
      <c r="E33" s="52">
        <f>IF((INDEX('Weld Estimate'!$D$62:$H$62,SelIdx))=0,"",($C$33)/(INDEX('Weld Estimate'!$D$62:$H$62,SelIdx)))</f>
        <v>0.0337972662368965</v>
      </c>
      <c r="F33" s="52"/>
      <c r="G33" s="49">
        <f>$C$33*INDEX('Weld Estimate'!$D$54:$H$54,SelIdx)</f>
        <v>133.820181570988</v>
      </c>
      <c r="H33" s="49"/>
    </row>
    <row r="34" spans="2:9" x14ac:dyDescent="0.25">
      <c r="B34" s="61" t="s">
        <v>160</v>
      </c>
      <c r="C34" s="36">
        <f>CHOOSE(2,INDEX('Weld Estimate'!$D$56:$H$56,SelIdx),INDEX('Weld Estimate'!$D$57:$H$57,SelIdx),INDEX('Weld Estimate'!$D$58:$H$58,SelIdx),INDEX('Weld Estimate'!$D$59:$H$59,SelIdx),INDEX('Weld Estimate'!$D$60:$H$60,SelIdx),INDEX('Weld Estimate'!$D$61:$H$61,SelIdx))</f>
        <v>95.7759011452527</v>
      </c>
      <c r="D34" s="36"/>
      <c r="E34" s="52">
        <f>IF((INDEX('Weld Estimate'!$D$62:$H$62,SelIdx))=0,"",($C$34)/(INDEX('Weld Estimate'!$D$62:$H$62,SelIdx)))</f>
        <v>0.604722619578807</v>
      </c>
      <c r="F34" s="52"/>
      <c r="G34" s="49">
        <f>$C$34*INDEX('Weld Estimate'!$D$54:$H$54,SelIdx)</f>
        <v>2394.39752863132</v>
      </c>
      <c r="H34" s="49"/>
    </row>
    <row r="35" spans="2:9" x14ac:dyDescent="0.25">
      <c r="B35" s="61" t="s">
        <v>161</v>
      </c>
      <c r="C35" s="36">
        <f>CHOOSE(3,INDEX('Weld Estimate'!$D$56:$H$56,SelIdx),INDEX('Weld Estimate'!$D$57:$H$57,SelIdx),INDEX('Weld Estimate'!$D$58:$H$58,SelIdx),INDEX('Weld Estimate'!$D$59:$H$59,SelIdx),INDEX('Weld Estimate'!$D$60:$H$60,SelIdx),INDEX('Weld Estimate'!$D$61:$H$61,SelIdx))</f>
        <v>8.64</v>
      </c>
      <c r="D35" s="36"/>
      <c r="E35" s="52">
        <f>IF((INDEX('Weld Estimate'!$D$62:$H$62,SelIdx))=0,"",($C$35)/(INDEX('Weld Estimate'!$D$62:$H$62,SelIdx)))</f>
        <v>0.0545523808252873</v>
      </c>
      <c r="F35" s="52"/>
      <c r="G35" s="49">
        <f>$C$35*INDEX('Weld Estimate'!$D$54:$H$54,SelIdx)</f>
        <v>216</v>
      </c>
      <c r="H35" s="49"/>
    </row>
    <row r="36" spans="2:9" x14ac:dyDescent="0.25">
      <c r="B36" s="61" t="s">
        <v>182</v>
      </c>
      <c r="C36" s="36">
        <f>CHOOSE(4,INDEX('Weld Estimate'!$D$56:$H$56,SelIdx),INDEX('Weld Estimate'!$D$57:$H$57,SelIdx),INDEX('Weld Estimate'!$D$58:$H$58,SelIdx),INDEX('Weld Estimate'!$D$59:$H$59,SelIdx),INDEX('Weld Estimate'!$D$60:$H$60,SelIdx),INDEX('Weld Estimate'!$D$61:$H$61,SelIdx))</f>
        <v>2.88</v>
      </c>
      <c r="D36" s="36"/>
      <c r="E36" s="52">
        <f>IF((INDEX('Weld Estimate'!$D$62:$H$62,SelIdx))=0,"",($C$36)/(INDEX('Weld Estimate'!$D$62:$H$62,SelIdx)))</f>
        <v>0.0181841269417624</v>
      </c>
      <c r="F36" s="52"/>
      <c r="G36" s="49">
        <f>$C$36*INDEX('Weld Estimate'!$D$54:$H$54,SelIdx)</f>
        <v>72</v>
      </c>
      <c r="H36" s="49"/>
    </row>
    <row r="37" spans="2:9" x14ac:dyDescent="0.25">
      <c r="B37" s="61" t="s">
        <v>183</v>
      </c>
      <c r="C37" s="36">
        <f>CHOOSE(5,INDEX('Weld Estimate'!$D$56:$H$56,SelIdx),INDEX('Weld Estimate'!$D$57:$H$57,SelIdx),INDEX('Weld Estimate'!$D$58:$H$58,SelIdx),INDEX('Weld Estimate'!$D$59:$H$59,SelIdx),INDEX('Weld Estimate'!$D$60:$H$60,SelIdx),INDEX('Weld Estimate'!$D$61:$H$61,SelIdx))</f>
        <v>26</v>
      </c>
      <c r="D37" s="36"/>
      <c r="E37" s="52">
        <f>IF((INDEX('Weld Estimate'!$D$62:$H$62,SelIdx))=0,"",($C$37)/(INDEX('Weld Estimate'!$D$62:$H$62,SelIdx)))</f>
        <v>0.164162257113133</v>
      </c>
      <c r="F37" s="52"/>
      <c r="G37" s="49">
        <f>$C$37*INDEX('Weld Estimate'!$D$54:$H$54,SelIdx)</f>
        <v>650</v>
      </c>
      <c r="H37" s="49"/>
    </row>
    <row r="38" spans="2:9" x14ac:dyDescent="0.25">
      <c r="B38" s="61" t="s">
        <v>164</v>
      </c>
      <c r="C38" s="36">
        <f>CHOOSE(6,INDEX('Weld Estimate'!$D$56:$H$56,SelIdx),INDEX('Weld Estimate'!$D$57:$H$57,SelIdx),INDEX('Weld Estimate'!$D$58:$H$58,SelIdx),INDEX('Weld Estimate'!$D$59:$H$59,SelIdx),INDEX('Weld Estimate'!$D$60:$H$60,SelIdx),INDEX('Weld Estimate'!$D$61:$H$61,SelIdx))</f>
        <v>19.7311802290505</v>
      </c>
      <c r="D38" s="36"/>
      <c r="E38" s="52">
        <f>IF((INDEX('Weld Estimate'!$D$62:$H$62,SelIdx))=0,"",($C$38)/(INDEX('Weld Estimate'!$D$62:$H$62,SelIdx)))</f>
        <v>0.124581349304114</v>
      </c>
      <c r="F38" s="52"/>
      <c r="G38" s="49">
        <f>$C$38*INDEX('Weld Estimate'!$D$54:$H$54,SelIdx)</f>
        <v>493.279505726263</v>
      </c>
      <c r="H38" s="49"/>
    </row>
    <row r="40" spans="2:9" x14ac:dyDescent="0.25">
      <c r="B40" s="47" t="s">
        <v>184</v>
      </c>
      <c r="C40" s="47"/>
      <c r="D40" s="34" t="s">
        <v>156</v>
      </c>
      <c r="E40" s="62">
        <f>INDEX('Weld Estimate'!$D$54:$H$54,1)</f>
        <v>5</v>
      </c>
      <c r="F40" s="62">
        <f>INDEX('Weld Estimate'!$D$54:$H$54,2)</f>
        <v>10</v>
      </c>
      <c r="G40" s="62">
        <f>INDEX('Weld Estimate'!$D$54:$H$54,3)</f>
        <v>25</v>
      </c>
      <c r="H40" s="62">
        <f>INDEX('Weld Estimate'!$D$54:$H$54,4)</f>
        <v>50</v>
      </c>
      <c r="I40" s="62">
        <f>INDEX('Weld Estimate'!$D$54:$H$54,5)</f>
        <v>100</v>
      </c>
    </row>
    <row r="41" spans="2:9" x14ac:dyDescent="0.25">
      <c r="B41" s="27" t="s">
        <v>185</v>
      </c>
      <c r="C41" s="27"/>
      <c r="D41" s="7" t="s">
        <v>158</v>
      </c>
      <c r="E41" s="49">
        <f>'Weld Estimate'!$D$54</f>
        <v>5</v>
      </c>
      <c r="F41" s="49">
        <f>'Weld Estimate'!$E$54</f>
        <v>10</v>
      </c>
      <c r="G41" s="49">
        <f>'Weld Estimate'!$F$54</f>
        <v>25</v>
      </c>
      <c r="H41" s="49">
        <f>'Weld Estimate'!$G$54</f>
        <v>50</v>
      </c>
      <c r="I41" s="49">
        <f>'Weld Estimate'!$H$54</f>
        <v>100</v>
      </c>
    </row>
    <row r="42" spans="2:9" x14ac:dyDescent="0.25">
      <c r="B42" s="27" t="s">
        <v>159</v>
      </c>
      <c r="C42" s="27"/>
      <c r="D42" s="7" t="str">
        <f>Currency&amp;"/weldment"</f>
        <v>USD/weldment</v>
      </c>
      <c r="E42" s="36">
        <f>'Weld Estimate'!$D$56</f>
        <v>5.94756362537726</v>
      </c>
      <c r="F42" s="36">
        <f>'Weld Estimate'!$E$56</f>
        <v>5.45193332326249</v>
      </c>
      <c r="G42" s="36">
        <f>'Weld Estimate'!$F$56</f>
        <v>5.35280726283954</v>
      </c>
      <c r="H42" s="36">
        <f>'Weld Estimate'!$G$56</f>
        <v>5.25368120241658</v>
      </c>
      <c r="I42" s="36">
        <f>'Weld Estimate'!$H$56</f>
        <v>5.20411817220511</v>
      </c>
    </row>
    <row r="43" spans="2:9" x14ac:dyDescent="0.25">
      <c r="B43" s="27" t="s">
        <v>186</v>
      </c>
      <c r="C43" s="27"/>
      <c r="D43" s="7" t="str">
        <f>Currency&amp;"/weldment"</f>
        <v>USD/weldment</v>
      </c>
      <c r="E43" s="36">
        <f>'Weld Estimate'!$D$57+'Weld Estimate'!$D$61</f>
        <v>130.581201527004</v>
      </c>
      <c r="F43" s="36">
        <f>'Weld Estimate'!$E$57+'Weld Estimate'!$E$61</f>
        <v>118.499434733087</v>
      </c>
      <c r="G43" s="36">
        <f>'Weld Estimate'!$F$57+'Weld Estimate'!$F$61</f>
        <v>115.507081374303</v>
      </c>
      <c r="H43" s="36">
        <f>'Weld Estimate'!$G$57+'Weld Estimate'!$G$61</f>
        <v>113.09072801552</v>
      </c>
      <c r="I43" s="36">
        <f>'Weld Estimate'!$H$57+'Weld Estimate'!$H$61</f>
        <v>111.882551336128</v>
      </c>
    </row>
    <row r="44" spans="2:9" x14ac:dyDescent="0.25">
      <c r="B44" s="27" t="s">
        <v>161</v>
      </c>
      <c r="C44" s="27"/>
      <c r="D44" s="7" t="str">
        <f>Currency&amp;"/weldment"</f>
        <v>USD/weldment</v>
      </c>
      <c r="E44" s="36">
        <f>'Weld Estimate'!$D$58</f>
        <v>9.6</v>
      </c>
      <c r="F44" s="36">
        <f>'Weld Estimate'!$E$58</f>
        <v>8.8</v>
      </c>
      <c r="G44" s="36">
        <f>'Weld Estimate'!$F$58</f>
        <v>8.64</v>
      </c>
      <c r="H44" s="36">
        <f>'Weld Estimate'!$G$58</f>
        <v>8.48</v>
      </c>
      <c r="I44" s="36">
        <f>'Weld Estimate'!$H$58</f>
        <v>8.4</v>
      </c>
    </row>
    <row r="45" spans="2:9" x14ac:dyDescent="0.25">
      <c r="B45" s="27" t="s">
        <v>187</v>
      </c>
      <c r="C45" s="27"/>
      <c r="D45" s="7" t="str">
        <f>Currency&amp;"/weldment"</f>
        <v>USD/weldment</v>
      </c>
      <c r="E45" s="36">
        <f>'Weld Estimate'!$D$59+'Weld Estimate'!$D$60</f>
        <v>144.4</v>
      </c>
      <c r="F45" s="36">
        <f>'Weld Estimate'!$E$59+'Weld Estimate'!$E$60</f>
        <v>72.2</v>
      </c>
      <c r="G45" s="36">
        <f>'Weld Estimate'!$F$59+'Weld Estimate'!$F$60</f>
        <v>28.88</v>
      </c>
      <c r="H45" s="36">
        <f>'Weld Estimate'!$G$59+'Weld Estimate'!$G$60</f>
        <v>14.44</v>
      </c>
      <c r="I45" s="36">
        <f>'Weld Estimate'!$H$59+'Weld Estimate'!$H$60</f>
        <v>7.22</v>
      </c>
    </row>
  </sheetData>
  <sheetProtection sheet="1" formatColumns="0" formatRows="0"/>
  <mergeCells count="51">
    <mergeCell ref="A1:L1"/>
    <mergeCell ref="B2:J2"/>
    <mergeCell ref="K2:L2"/>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H30"/>
    <mergeCell ref="C31:D31"/>
    <mergeCell ref="E31:F31"/>
    <mergeCell ref="G31:H31"/>
    <mergeCell ref="C32:D32"/>
    <mergeCell ref="E32:F32"/>
    <mergeCell ref="G32:H32"/>
    <mergeCell ref="C33:D33"/>
    <mergeCell ref="C34:D34"/>
    <mergeCell ref="C35:D35"/>
    <mergeCell ref="C36:D36"/>
    <mergeCell ref="C37:D37"/>
    <mergeCell ref="C38:D38"/>
    <mergeCell ref="E33:F33"/>
    <mergeCell ref="E34:F34"/>
    <mergeCell ref="E35:F35"/>
    <mergeCell ref="E36:F36"/>
    <mergeCell ref="E37:F37"/>
    <mergeCell ref="E38:F38"/>
    <mergeCell ref="G33:H33"/>
    <mergeCell ref="G34:H34"/>
    <mergeCell ref="G35:H35"/>
    <mergeCell ref="G36:H36"/>
    <mergeCell ref="G37:H37"/>
    <mergeCell ref="G38:H38"/>
    <mergeCell ref="B40:C40"/>
    <mergeCell ref="B41:C41"/>
    <mergeCell ref="B42:C42"/>
    <mergeCell ref="B43:C43"/>
    <mergeCell ref="B44:C44"/>
    <mergeCell ref="B45:C45"/>
  </mergeCells>
  <conditionalFormatting sqref="E33:E38">
    <cfRule type="dataBar" priority="2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dataValidations count="1">
    <dataValidation type="list" allowBlank="1" showInputMessage="1" showErrorMessage="1" errorTitle="Check this entry" error="Pick from the list (edit the list on Setup: BreakList)." promptTitle="Batch shown" prompt="One of the batch quantities on the Weld Estimate. The tiles and the cost build-up show this batch. Pick from the list (edit the list on Setup: BreakList)." sqref="C4">
      <formula1>BreakList</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Welding Cost Estimator&amp;R&amp;8&amp;A</oddHeader>
    <oddFooter>&amp;L&amp;8mfgcalcs.com - free manufacturing templates&amp;R&amp;8Page &amp;P of &amp;N</oddFooter>
  </headerFooter>
  <rowBreaks count="1" manualBreakCount="1">
    <brk id="2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E33:E38</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188</v>
      </c>
      <c r="C4" s="8"/>
      <c r="D4" s="8"/>
    </row>
    <row r="5" spans="1:4" ht="5" customHeight="1"/>
    <row r="6" spans="1:4" ht="55.8" customHeight="1">
      <c r="B6" s="10" t="s">
        <v>189</v>
      </c>
      <c r="C6" s="10"/>
      <c r="D6" s="10"/>
    </row>
    <row r="8" spans="1:4" ht="21" customHeight="1">
      <c r="B8" s="8" t="s">
        <v>190</v>
      </c>
      <c r="C8" s="8"/>
      <c r="D8" s="8"/>
    </row>
    <row r="9" spans="1:4" ht="5" customHeight="1"/>
    <row r="10" spans="1:4" ht="20" customHeight="1">
      <c r="B10" s="47" t="s">
        <v>191</v>
      </c>
      <c r="C10" s="47" t="s">
        <v>192</v>
      </c>
      <c r="D10" s="34" t="s">
        <v>193</v>
      </c>
    </row>
    <row r="11" spans="1:4" ht="30.4" customHeight="1">
      <c r="B11" s="63" t="s">
        <v>194</v>
      </c>
      <c r="C11" s="64" t="s">
        <v>195</v>
      </c>
      <c r="D11" s="65" t="s">
        <v>196</v>
      </c>
    </row>
    <row r="12" spans="1:4" ht="17.2" customHeight="1">
      <c r="B12" s="63" t="s">
        <v>197</v>
      </c>
      <c r="C12" s="64" t="s">
        <v>198</v>
      </c>
      <c r="D12" s="65" t="s">
        <v>199</v>
      </c>
    </row>
    <row r="13" spans="1:4" ht="43.6" customHeight="1">
      <c r="B13" s="63" t="s">
        <v>200</v>
      </c>
      <c r="C13" s="64" t="s">
        <v>201</v>
      </c>
      <c r="D13" s="65" t="s">
        <v>202</v>
      </c>
    </row>
    <row r="14" spans="1:4" ht="30.4" customHeight="1">
      <c r="B14" s="63" t="s">
        <v>203</v>
      </c>
      <c r="C14" s="64" t="s">
        <v>204</v>
      </c>
      <c r="D14" s="65" t="s">
        <v>140</v>
      </c>
    </row>
    <row r="15" spans="1:4" ht="17.2" customHeight="1">
      <c r="B15" s="63" t="s">
        <v>205</v>
      </c>
      <c r="C15" s="64" t="s">
        <v>206</v>
      </c>
      <c r="D15" s="65" t="s">
        <v>207</v>
      </c>
    </row>
    <row r="16" spans="1:4" ht="17.2" customHeight="1">
      <c r="B16" s="63" t="s">
        <v>208</v>
      </c>
      <c r="C16" s="64" t="s">
        <v>209</v>
      </c>
      <c r="D16" s="65" t="s">
        <v>210</v>
      </c>
    </row>
    <row r="17" spans="2:4" ht="17.2" customHeight="1">
      <c r="B17" s="63" t="s">
        <v>157</v>
      </c>
      <c r="C17" s="64" t="s">
        <v>211</v>
      </c>
      <c r="D17" s="65" t="s">
        <v>158</v>
      </c>
    </row>
    <row r="18" spans="2:4" ht="30.4" customHeight="1">
      <c r="B18" s="63" t="s">
        <v>212</v>
      </c>
      <c r="C18" s="64" t="s">
        <v>213</v>
      </c>
      <c r="D18" s="65" t="s">
        <v>207</v>
      </c>
    </row>
    <row r="19" spans="2:4" ht="30.4" customHeight="1">
      <c r="B19" s="63" t="s">
        <v>214</v>
      </c>
      <c r="C19" s="64" t="s">
        <v>215</v>
      </c>
      <c r="D19" s="65" t="s">
        <v>207</v>
      </c>
    </row>
    <row r="20" spans="2:4" ht="30.4" customHeight="1">
      <c r="B20" s="63" t="s">
        <v>166</v>
      </c>
      <c r="C20" s="64" t="s">
        <v>216</v>
      </c>
      <c r="D20" s="65" t="s">
        <v>207</v>
      </c>
    </row>
    <row r="21" spans="2:4" ht="17.2" customHeight="1">
      <c r="B21" s="63" t="s">
        <v>170</v>
      </c>
      <c r="C21" s="64" t="s">
        <v>217</v>
      </c>
      <c r="D21" s="65" t="s">
        <v>149</v>
      </c>
    </row>
    <row r="23" spans="2:4" ht="21" customHeight="1">
      <c r="B23" s="8" t="s">
        <v>218</v>
      </c>
      <c r="C23" s="8"/>
      <c r="D23" s="8"/>
    </row>
    <row r="24" spans="2:4" ht="5" customHeight="1"/>
    <row r="25" spans="2:4" ht="29.4" customHeight="1">
      <c r="B25" s="26" t="s">
        <v>55</v>
      </c>
      <c r="C25" s="10" t="s">
        <v>219</v>
      </c>
      <c r="D25" s="10"/>
    </row>
    <row r="26" spans="2:4" ht="29.4" customHeight="1">
      <c r="B26" s="26" t="s">
        <v>55</v>
      </c>
      <c r="C26" s="10" t="s">
        <v>220</v>
      </c>
      <c r="D26" s="10"/>
    </row>
    <row r="27" spans="2:4" ht="16.2" customHeight="1">
      <c r="B27" s="26" t="s">
        <v>55</v>
      </c>
      <c r="C27" s="10" t="s">
        <v>221</v>
      </c>
      <c r="D27" s="10"/>
    </row>
    <row r="28" spans="2:4" ht="29.4" customHeight="1">
      <c r="B28" s="26" t="s">
        <v>55</v>
      </c>
      <c r="C28" s="10" t="s">
        <v>222</v>
      </c>
      <c r="D28" s="10"/>
    </row>
    <row r="30" spans="2:4" ht="21" customHeight="1">
      <c r="B30" s="8" t="s">
        <v>223</v>
      </c>
      <c r="C30" s="8"/>
      <c r="D30" s="8"/>
    </row>
    <row r="31" spans="2:4" ht="5" customHeight="1"/>
    <row r="32" spans="2:4" ht="29.4" customHeight="1">
      <c r="B32" s="26" t="s">
        <v>55</v>
      </c>
      <c r="C32" s="10" t="s">
        <v>224</v>
      </c>
      <c r="D32" s="10"/>
    </row>
    <row r="33" spans="2:4" ht="29.4" customHeight="1">
      <c r="B33" s="26" t="s">
        <v>55</v>
      </c>
      <c r="C33" s="10" t="s">
        <v>225</v>
      </c>
      <c r="D33" s="10"/>
    </row>
    <row r="34" spans="2:4" ht="29.4" customHeight="1">
      <c r="B34" s="26" t="s">
        <v>55</v>
      </c>
      <c r="C34" s="10" t="s">
        <v>226</v>
      </c>
      <c r="D34" s="10"/>
    </row>
    <row r="35" spans="2:4" ht="16.2" customHeight="1">
      <c r="B35" s="26" t="s">
        <v>55</v>
      </c>
      <c r="C35" s="10" t="s">
        <v>227</v>
      </c>
      <c r="D35" s="10"/>
    </row>
    <row r="37" spans="2:4" ht="21" customHeight="1">
      <c r="B37" s="8" t="s">
        <v>228</v>
      </c>
      <c r="C37" s="8"/>
      <c r="D37" s="8"/>
    </row>
    <row r="38" spans="2:4" ht="5" customHeight="1"/>
    <row r="39" spans="2:4" ht="82.2" customHeight="1">
      <c r="B39" s="10" t="s">
        <v>229</v>
      </c>
      <c r="C39" s="10"/>
      <c r="D39" s="10"/>
    </row>
    <row r="40" spans="2:4">
      <c r="B40" s="24" t="s">
        <v>230</v>
      </c>
      <c r="C40" s="24"/>
      <c r="D40" s="24"/>
    </row>
    <row r="42" spans="2:4" ht="21" customHeight="1">
      <c r="B42" s="8" t="s">
        <v>42</v>
      </c>
      <c r="C42" s="8"/>
      <c r="D42" s="8"/>
    </row>
    <row r="43" spans="2:4" ht="5" customHeight="1"/>
    <row r="44" spans="2:4" ht="42.6" customHeight="1">
      <c r="B44" s="10" t="s">
        <v>231</v>
      </c>
      <c r="C44" s="10"/>
      <c r="D44" s="10"/>
    </row>
    <row r="46" spans="2:4" ht="21" customHeight="1">
      <c r="B46" s="8" t="s">
        <v>232</v>
      </c>
      <c r="C46" s="8"/>
      <c r="D46" s="8"/>
    </row>
    <row r="47" spans="2:4" ht="5" customHeight="1"/>
    <row r="48" spans="2:4" ht="42.6" customHeight="1">
      <c r="B48" s="26" t="s">
        <v>55</v>
      </c>
      <c r="C48" s="10" t="s">
        <v>233</v>
      </c>
      <c r="D48" s="10"/>
    </row>
    <row r="49" spans="2:4" ht="16.2" customHeight="1">
      <c r="B49" s="26" t="s">
        <v>55</v>
      </c>
      <c r="C49" s="10" t="s">
        <v>234</v>
      </c>
      <c r="D49" s="10"/>
    </row>
    <row r="50" spans="2:4" ht="29.4" customHeight="1">
      <c r="B50" s="26" t="s">
        <v>55</v>
      </c>
      <c r="C50" s="10" t="s">
        <v>235</v>
      </c>
      <c r="D50" s="10"/>
    </row>
    <row r="51" spans="2:4">
      <c r="B51" s="21" t="s">
        <v>236</v>
      </c>
      <c r="C51" s="21"/>
      <c r="D51" s="21"/>
    </row>
    <row r="53" spans="2:4" ht="21" customHeight="1">
      <c r="B53" s="8" t="s">
        <v>237</v>
      </c>
      <c r="C53" s="8"/>
      <c r="D53" s="8"/>
    </row>
    <row r="54" spans="2:4" ht="5" customHeight="1"/>
    <row r="55" spans="2:4">
      <c r="B55" s="47" t="s">
        <v>50</v>
      </c>
      <c r="C55" s="47" t="s">
        <v>238</v>
      </c>
      <c r="D55" s="34" t="s">
        <v>115</v>
      </c>
    </row>
    <row r="56" spans="2:4" ht="16.2" customHeight="1">
      <c r="B56" s="66" t="s">
        <v>239</v>
      </c>
      <c r="C56" s="67" t="s">
        <v>240</v>
      </c>
      <c r="D56" s="68" t="s">
        <v>241</v>
      </c>
    </row>
    <row r="58" spans="2:4">
      <c r="B58" s="21" t="s">
        <v>61</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Welding Cost Estimator&amp;R&amp;8&amp;A</oddHeader>
    <oddFooter>&amp;L&amp;8mfgcalcs.com - free manufacturing templates&amp;R&amp;8Page &amp;P of &amp;N</oddFooter>
  </headerFooter>
  <rowBreaks count="1" manualBreakCount="1">
    <brk id="29"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O100"/>
  <sheetViews>
    <sheetView showGridLines="0" workbookViewId="0"/>
  </sheetViews>
  <sheetFormatPr defaultRowHeight="15"/>
  <cols>
    <col min="1" max="1" width="2.7109375" customWidth="1"/>
    <col min="2" max="19" width="12.7109375" customWidth="1"/>
  </cols>
  <sheetData>
    <row r="1" spans="1:15" ht="30" customHeight="1">
      <c r="A1" s="1" t="s">
        <v>0</v>
      </c>
      <c r="B1" s="1"/>
      <c r="C1" s="1"/>
      <c r="D1" s="1"/>
      <c r="E1" s="1"/>
      <c r="F1" s="1"/>
      <c r="G1" s="1"/>
      <c r="H1" s="1"/>
      <c r="I1" s="1"/>
      <c r="J1" s="1"/>
      <c r="K1" s="1"/>
      <c r="L1" s="1"/>
      <c r="M1" s="1"/>
      <c r="N1" s="1"/>
      <c r="O1" s="1"/>
    </row>
    <row r="2" spans="1:15" ht="21" customHeight="1">
      <c r="B2" s="2" t="s">
        <v>28</v>
      </c>
      <c r="C2" s="2"/>
      <c r="D2" s="2"/>
      <c r="E2" s="2"/>
      <c r="F2" s="2"/>
      <c r="G2" s="2"/>
      <c r="H2" s="2"/>
      <c r="I2" s="2"/>
      <c r="J2" s="2"/>
      <c r="K2" s="2"/>
      <c r="L2" s="2"/>
      <c r="M2" s="2"/>
      <c r="N2" s="2"/>
      <c r="O2" s="3" t="s">
        <v>2</v>
      </c>
    </row>
    <row r="3" spans="1:15" ht="6" customHeight="1"/>
    <row r="4" spans="1:15" ht="30" customHeight="1">
      <c r="B4" s="69" t="s">
        <v>242</v>
      </c>
      <c r="C4" s="69"/>
      <c r="D4" s="22" t="str">
        <f>IF(COUNTIF($K$11:$K$29,"PASS")=19,"PASS","FAIL")</f>
        <v>PASS</v>
      </c>
      <c r="E4" s="22"/>
      <c r="F4" s="23" t="str">
        <f>COUNTIF($K$11:$K$29,"PASS")&amp;" of 19 checks pass"</f>
        <v>19 of 19 checks pass</v>
      </c>
      <c r="G4" s="23"/>
      <c r="H4" s="23"/>
      <c r="I4" s="23"/>
      <c r="J4" s="23"/>
    </row>
    <row r="6" spans="1:15" ht="29.4" customHeight="1">
      <c r="B6" s="10" t="s">
        <v>243</v>
      </c>
      <c r="C6" s="10"/>
      <c r="D6" s="10"/>
      <c r="E6" s="10"/>
      <c r="F6" s="10"/>
      <c r="G6" s="10"/>
      <c r="H6" s="10"/>
      <c r="I6" s="10"/>
      <c r="J6" s="10"/>
      <c r="K6" s="10"/>
      <c r="L6" s="10"/>
    </row>
    <row r="8" spans="1:15" ht="21" customHeight="1">
      <c r="B8" s="8" t="s">
        <v>244</v>
      </c>
      <c r="C8" s="8"/>
      <c r="D8" s="8"/>
      <c r="E8" s="8"/>
      <c r="F8" s="8"/>
      <c r="G8" s="8"/>
      <c r="H8" s="8"/>
      <c r="I8" s="8"/>
      <c r="J8" s="8"/>
      <c r="K8" s="8"/>
      <c r="L8" s="8"/>
    </row>
    <row r="9" spans="1:15" ht="5" customHeight="1"/>
    <row r="10" spans="1:15" ht="30" customHeight="1">
      <c r="B10" s="34" t="s">
        <v>245</v>
      </c>
      <c r="C10" s="47" t="s">
        <v>106</v>
      </c>
      <c r="D10" s="47"/>
      <c r="E10" s="47"/>
      <c r="F10" s="47"/>
      <c r="G10" s="34" t="s">
        <v>246</v>
      </c>
      <c r="H10" s="34" t="s">
        <v>247</v>
      </c>
      <c r="I10" s="34" t="s">
        <v>248</v>
      </c>
      <c r="J10" s="34" t="s">
        <v>249</v>
      </c>
      <c r="K10" s="34" t="s">
        <v>250</v>
      </c>
    </row>
    <row r="11" spans="1:15" ht="16.2" customHeight="1">
      <c r="B11" s="62">
        <v>1</v>
      </c>
      <c r="C11" s="67" t="s">
        <v>251</v>
      </c>
      <c r="D11" s="67"/>
      <c r="E11" s="67"/>
      <c r="F11" s="67"/>
      <c r="G11" s="70">
        <v>18.75</v>
      </c>
      <c r="H11" s="71">
        <f>$I$46</f>
        <v>18.75</v>
      </c>
      <c r="I11" s="72">
        <f>IF(AND(ISNUMBER($G$11),ISNUMBER($H$11)),ABS($H$11-$G$11),"")</f>
        <v>0</v>
      </c>
      <c r="J11" s="73">
        <v>1E-09</v>
      </c>
      <c r="K11" s="74" t="str">
        <f>IF(AND(ISNUMBER($G$11),ISNUMBER($H$11)),IF(ABS($H$11-$G$11)&lt;=$J$11,"PASS","FAIL"),"FAIL")</f>
        <v>PASS</v>
      </c>
    </row>
    <row r="12" spans="1:15" ht="16.2" customHeight="1">
      <c r="B12" s="62">
        <v>2</v>
      </c>
      <c r="C12" s="67" t="s">
        <v>252</v>
      </c>
      <c r="D12" s="67"/>
      <c r="E12" s="67"/>
      <c r="F12" s="67"/>
      <c r="G12" s="75">
        <v>3.145065789473684</v>
      </c>
      <c r="H12" s="37">
        <f>$J$46</f>
        <v>3.14506578947368</v>
      </c>
      <c r="I12" s="72">
        <f>IF(AND(ISNUMBER($G$12),ISNUMBER($H$12)),ABS($H$12-$G$12),"")</f>
        <v>0</v>
      </c>
      <c r="J12" s="73">
        <v>1E-09</v>
      </c>
      <c r="K12" s="74" t="str">
        <f>IF(AND(ISNUMBER($G$12),ISNUMBER($H$12)),IF(ABS($H$12-$G$12)&lt;=$J$12,"PASS","FAIL"),"FAIL")</f>
        <v>PASS</v>
      </c>
    </row>
    <row r="13" spans="1:15" ht="16.2" customHeight="1">
      <c r="B13" s="62">
        <v>3</v>
      </c>
      <c r="C13" s="67" t="s">
        <v>253</v>
      </c>
      <c r="D13" s="67"/>
      <c r="E13" s="67"/>
      <c r="F13" s="67"/>
      <c r="G13" s="75">
        <v>6.333333333333333</v>
      </c>
      <c r="H13" s="37">
        <f>$J$48</f>
        <v>6.33333333333333</v>
      </c>
      <c r="I13" s="72">
        <f>IF(AND(ISNUMBER($G$13),ISNUMBER($H$13)),ABS($H$13-$G$13),"")</f>
        <v>0</v>
      </c>
      <c r="J13" s="73">
        <v>1E-09</v>
      </c>
      <c r="K13" s="74" t="str">
        <f>IF(AND(ISNUMBER($G$13),ISNUMBER($H$13)),IF(ABS($H$13-$G$13)&lt;=$J$13,"PASS","FAIL"),"FAIL")</f>
        <v>PASS</v>
      </c>
    </row>
    <row r="14" spans="1:15" ht="16.2" customHeight="1">
      <c r="B14" s="62">
        <v>4</v>
      </c>
      <c r="C14" s="67" t="s">
        <v>254</v>
      </c>
      <c r="D14" s="67"/>
      <c r="E14" s="67"/>
      <c r="F14" s="67"/>
      <c r="G14" s="76">
        <v>19.8</v>
      </c>
      <c r="H14" s="43">
        <f>$G$55</f>
        <v>19.8</v>
      </c>
      <c r="I14" s="72">
        <f>IF(AND(ISNUMBER($G$14),ISNUMBER($H$14)),ABS($H$14-$G$14),"")</f>
        <v>0</v>
      </c>
      <c r="J14" s="73">
        <v>1E-09</v>
      </c>
      <c r="K14" s="74" t="str">
        <f>IF(AND(ISNUMBER($G$14),ISNUMBER($H$14)),IF(ABS($H$14-$G$14)&lt;=$J$14,"PASS","FAIL"),"FAIL")</f>
        <v>PASS</v>
      </c>
    </row>
    <row r="15" spans="1:15" ht="16.2" customHeight="1">
      <c r="B15" s="62">
        <v>5</v>
      </c>
      <c r="C15" s="67" t="s">
        <v>255</v>
      </c>
      <c r="D15" s="67"/>
      <c r="E15" s="67"/>
      <c r="F15" s="67"/>
      <c r="G15" s="76">
        <v>85.50852961085884</v>
      </c>
      <c r="H15" s="43">
        <f>$G$56</f>
        <v>85.5085296108588</v>
      </c>
      <c r="I15" s="72">
        <f>IF(AND(ISNUMBER($G$15),ISNUMBER($H$15)),ABS($H$15-$G$15),"")</f>
        <v>0</v>
      </c>
      <c r="J15" s="73">
        <v>1E-09</v>
      </c>
      <c r="K15" s="74" t="str">
        <f>IF(AND(ISNUMBER($G$15),ISNUMBER($H$15)),IF(ABS($H$15-$G$15)&lt;=$J$15,"PASS","FAIL"),"FAIL")</f>
        <v>PASS</v>
      </c>
    </row>
    <row r="16" spans="1:15" ht="16.2" customHeight="1">
      <c r="B16" s="62">
        <v>6</v>
      </c>
      <c r="C16" s="67" t="s">
        <v>256</v>
      </c>
      <c r="D16" s="67"/>
      <c r="E16" s="67"/>
      <c r="F16" s="67"/>
      <c r="G16" s="70">
        <v>0.5369935659561935</v>
      </c>
      <c r="H16" s="71">
        <f>$H$56</f>
        <v>0.536993565956194</v>
      </c>
      <c r="I16" s="72">
        <f>IF(AND(ISNUMBER($G$16),ISNUMBER($H$16)),ABS($H$16-$G$16),"")</f>
        <v>0</v>
      </c>
      <c r="J16" s="73">
        <v>1E-09</v>
      </c>
      <c r="K16" s="74" t="str">
        <f>IF(AND(ISNUMBER($G$16),ISNUMBER($H$16)),IF(ABS($H$16-$G$16)&lt;=$J$16,"PASS","FAIL"),"FAIL")</f>
        <v>PASS</v>
      </c>
    </row>
    <row r="17" spans="2:12" ht="16.2" customHeight="1">
      <c r="B17" s="62">
        <v>7</v>
      </c>
      <c r="C17" s="67" t="s">
        <v>257</v>
      </c>
      <c r="D17" s="67"/>
      <c r="E17" s="67"/>
      <c r="F17" s="67"/>
      <c r="G17" s="76">
        <v>17.89978553187312</v>
      </c>
      <c r="H17" s="43">
        <f>$M$56</f>
        <v>17.8997855318731</v>
      </c>
      <c r="I17" s="72">
        <f>IF(AND(ISNUMBER($G$17),ISNUMBER($H$17)),ABS($H$17-$G$17),"")</f>
        <v>0</v>
      </c>
      <c r="J17" s="73">
        <v>1E-09</v>
      </c>
      <c r="K17" s="74" t="str">
        <f>IF(AND(ISNUMBER($G$17),ISNUMBER($H$17)),IF(ABS($H$17-$G$17)&lt;=$J$17,"PASS","FAIL"),"FAIL")</f>
        <v>PASS</v>
      </c>
    </row>
    <row r="18" spans="2:12" ht="16.2" customHeight="1">
      <c r="B18" s="62">
        <v>8</v>
      </c>
      <c r="C18" s="67" t="s">
        <v>258</v>
      </c>
      <c r="D18" s="67"/>
      <c r="E18" s="67"/>
      <c r="F18" s="67"/>
      <c r="G18" s="75">
        <v>17.05179898622904</v>
      </c>
      <c r="H18" s="37">
        <f>$N$56</f>
        <v>17.051798986229</v>
      </c>
      <c r="I18" s="72">
        <f>IF(AND(ISNUMBER($G$18),ISNUMBER($H$18)),ABS($H$18-$G$18),"")</f>
        <v>0</v>
      </c>
      <c r="J18" s="73">
        <v>1E-09</v>
      </c>
      <c r="K18" s="74" t="str">
        <f>IF(AND(ISNUMBER($G$18),ISNUMBER($H$18)),IF(ABS($H$18-$G$18)&lt;=$J$18,"PASS","FAIL"),"FAIL")</f>
        <v>PASS</v>
      </c>
    </row>
    <row r="19" spans="2:12" ht="16.2" customHeight="1">
      <c r="B19" s="62">
        <v>9</v>
      </c>
      <c r="C19" s="67" t="s">
        <v>259</v>
      </c>
      <c r="D19" s="67"/>
      <c r="E19" s="67"/>
      <c r="F19" s="67"/>
      <c r="G19" s="66" t="s">
        <v>260</v>
      </c>
      <c r="H19" s="31" t="str">
        <f>$O$61</f>
        <v>Enter a weld length</v>
      </c>
      <c r="I19" s="31"/>
      <c r="J19" s="68" t="s">
        <v>261</v>
      </c>
      <c r="K19" s="74" t="str">
        <f>IF($H$19&amp;""=$G$19&amp;"","PASS","FAIL")</f>
        <v>PASS</v>
      </c>
    </row>
    <row r="20" spans="2:12" ht="16.2" customHeight="1">
      <c r="B20" s="62">
        <v>10</v>
      </c>
      <c r="C20" s="67" t="s">
        <v>262</v>
      </c>
      <c r="D20" s="67"/>
      <c r="E20" s="67"/>
      <c r="F20" s="67"/>
      <c r="G20" s="76">
        <v>110.851737436635</v>
      </c>
      <c r="H20" s="43">
        <f>$E$83</f>
        <v>110.851737436635</v>
      </c>
      <c r="I20" s="72">
        <f>IF(AND(ISNUMBER($G$20),ISNUMBER($H$20)),ABS($H$20-$G$20),"")</f>
        <v>0</v>
      </c>
      <c r="J20" s="73">
        <v>1E-09</v>
      </c>
      <c r="K20" s="74" t="str">
        <f>IF(AND(ISNUMBER($G$20),ISNUMBER($H$20)),IF(ABS($H$20-$G$20)&lt;=$J$20,"PASS","FAIL"),"FAIL")</f>
        <v>PASS</v>
      </c>
    </row>
    <row r="21" spans="2:12" ht="16.2" customHeight="1">
      <c r="B21" s="62">
        <v>11</v>
      </c>
      <c r="C21" s="67" t="s">
        <v>263</v>
      </c>
      <c r="D21" s="67"/>
      <c r="E21" s="67"/>
      <c r="F21" s="67"/>
      <c r="G21" s="75">
        <v>290.5287651523808</v>
      </c>
      <c r="H21" s="37">
        <f>$F$96</f>
        <v>290.528765152381</v>
      </c>
      <c r="I21" s="72">
        <f>IF(AND(ISNUMBER($G$21),ISNUMBER($H$21)),ABS($H$21-$G$21),"")</f>
        <v>0</v>
      </c>
      <c r="J21" s="73">
        <v>1E-09</v>
      </c>
      <c r="K21" s="74" t="str">
        <f>IF(AND(ISNUMBER($G$21),ISNUMBER($H$21)),IF(ABS($H$21-$G$21)&lt;=$J$21,"PASS","FAIL"),"FAIL")</f>
        <v>PASS</v>
      </c>
    </row>
    <row r="22" spans="2:12" ht="16.2" customHeight="1">
      <c r="B22" s="62">
        <v>12</v>
      </c>
      <c r="C22" s="67" t="s">
        <v>264</v>
      </c>
      <c r="D22" s="67"/>
      <c r="E22" s="67"/>
      <c r="F22" s="67"/>
      <c r="G22" s="77">
        <v>363.5</v>
      </c>
      <c r="H22" s="36">
        <f>$F$97</f>
        <v>363.5</v>
      </c>
      <c r="I22" s="72">
        <f>IF(AND(ISNUMBER($G$22),ISNUMBER($H$22)),ABS($H$22-$G$22),"")</f>
        <v>0</v>
      </c>
      <c r="J22" s="73">
        <v>1E-09</v>
      </c>
      <c r="K22" s="74" t="str">
        <f>IF(AND(ISNUMBER($G$22),ISNUMBER($H$22)),IF(ABS($H$22-$G$22)&lt;=$J$22,"PASS","FAIL"),"FAIL")</f>
        <v>PASS</v>
      </c>
    </row>
    <row r="23" spans="2:12" ht="16.2" customHeight="1">
      <c r="B23" s="62">
        <v>13</v>
      </c>
      <c r="C23" s="67" t="s">
        <v>265</v>
      </c>
      <c r="D23" s="67"/>
      <c r="E23" s="67"/>
      <c r="F23" s="67"/>
      <c r="G23" s="77">
        <v>12.5851737436635</v>
      </c>
      <c r="H23" s="36">
        <f>$F$100</f>
        <v>12.5851737436635</v>
      </c>
      <c r="I23" s="72">
        <f>IF(AND(ISNUMBER($G$23),ISNUMBER($H$23)),ABS($H$23-$G$23),"")</f>
        <v>0</v>
      </c>
      <c r="J23" s="73">
        <v>1E-09</v>
      </c>
      <c r="K23" s="74" t="str">
        <f>IF(AND(ISNUMBER($G$23),ISNUMBER($H$23)),IF(ABS($H$23-$G$23)&lt;=$J$23,"PASS","FAIL"),"FAIL")</f>
        <v>PASS</v>
      </c>
    </row>
    <row r="24" spans="2:12" ht="16.2" customHeight="1">
      <c r="B24" s="62">
        <v>14</v>
      </c>
      <c r="C24" s="67" t="s">
        <v>266</v>
      </c>
      <c r="D24" s="67"/>
      <c r="E24" s="67"/>
      <c r="F24" s="67"/>
      <c r="G24" s="75">
        <v>158.3798886371427</v>
      </c>
      <c r="H24" s="37">
        <f>$H$96</f>
        <v>158.379888637143</v>
      </c>
      <c r="I24" s="72">
        <f>IF(AND(ISNUMBER($G$24),ISNUMBER($H$24)),ABS($H$24-$G$24),"")</f>
        <v>0</v>
      </c>
      <c r="J24" s="73">
        <v>1E-09</v>
      </c>
      <c r="K24" s="74" t="str">
        <f>IF(AND(ISNUMBER($G$24),ISNUMBER($H$24)),IF(ABS($H$24-$G$24)&lt;=$J$24,"PASS","FAIL"),"FAIL")</f>
        <v>PASS</v>
      </c>
    </row>
    <row r="25" spans="2:12" ht="16.2" customHeight="1">
      <c r="B25" s="62">
        <v>15</v>
      </c>
      <c r="C25" s="67" t="s">
        <v>267</v>
      </c>
      <c r="D25" s="67"/>
      <c r="E25" s="67"/>
      <c r="F25" s="67"/>
      <c r="G25" s="77">
        <v>198</v>
      </c>
      <c r="H25" s="36">
        <f>$H$97</f>
        <v>198</v>
      </c>
      <c r="I25" s="72">
        <f>IF(AND(ISNUMBER($G$25),ISNUMBER($H$25)),ABS($H$25-$G$25),"")</f>
        <v>0</v>
      </c>
      <c r="J25" s="73">
        <v>1E-09</v>
      </c>
      <c r="K25" s="74" t="str">
        <f>IF(AND(ISNUMBER($G$25),ISNUMBER($H$25)),IF(ABS($H$25-$G$25)&lt;=$J$25,"PASS","FAIL"),"FAIL")</f>
        <v>PASS</v>
      </c>
    </row>
    <row r="26" spans="2:12" ht="16.2" customHeight="1">
      <c r="B26" s="62">
        <v>16</v>
      </c>
      <c r="C26" s="67" t="s">
        <v>268</v>
      </c>
      <c r="D26" s="67"/>
      <c r="E26" s="67"/>
      <c r="F26" s="67"/>
      <c r="G26" s="77">
        <v>51.38328184648577</v>
      </c>
      <c r="H26" s="36">
        <f>$H$100</f>
        <v>51.3832818464858</v>
      </c>
      <c r="I26" s="72">
        <f>IF(AND(ISNUMBER($G$26),ISNUMBER($H$26)),ABS($H$26-$G$26),"")</f>
        <v>0</v>
      </c>
      <c r="J26" s="73">
        <v>1E-09</v>
      </c>
      <c r="K26" s="74" t="str">
        <f>IF(AND(ISNUMBER($G$26),ISNUMBER($H$26)),IF(ABS($H$26-$G$26)&lt;=$J$26,"PASS","FAIL"),"FAIL")</f>
        <v>PASS</v>
      </c>
    </row>
    <row r="27" spans="2:12" ht="16.2" customHeight="1">
      <c r="B27" s="62">
        <v>17</v>
      </c>
      <c r="C27" s="67" t="s">
        <v>269</v>
      </c>
      <c r="D27" s="67"/>
      <c r="E27" s="67"/>
      <c r="F27" s="67"/>
      <c r="G27" s="75">
        <v>132.7066695083332</v>
      </c>
      <c r="H27" s="37">
        <f>$J$96</f>
        <v>132.706669508333</v>
      </c>
      <c r="I27" s="72">
        <f>IF(AND(ISNUMBER($G$27),ISNUMBER($H$27)),ABS($H$27-$G$27),"")</f>
        <v>0</v>
      </c>
      <c r="J27" s="73">
        <v>1E-09</v>
      </c>
      <c r="K27" s="74" t="str">
        <f>IF(AND(ISNUMBER($G$27),ISNUMBER($H$27)),IF(ABS($H$27-$G$27)&lt;=$J$27,"PASS","FAIL"),"FAIL")</f>
        <v>PASS</v>
      </c>
    </row>
    <row r="28" spans="2:12" ht="16.2" customHeight="1">
      <c r="B28" s="62">
        <v>18</v>
      </c>
      <c r="C28" s="67" t="s">
        <v>270</v>
      </c>
      <c r="D28" s="67"/>
      <c r="E28" s="67"/>
      <c r="F28" s="67"/>
      <c r="G28" s="77">
        <v>166</v>
      </c>
      <c r="H28" s="36">
        <f>$J$97</f>
        <v>166</v>
      </c>
      <c r="I28" s="72">
        <f>IF(AND(ISNUMBER($G$28),ISNUMBER($H$28)),ABS($H$28-$G$28),"")</f>
        <v>0</v>
      </c>
      <c r="J28" s="73">
        <v>1E-09</v>
      </c>
      <c r="K28" s="74" t="str">
        <f>IF(AND(ISNUMBER($G$28),ISNUMBER($H$28)),IF(ABS($H$28-$G$28)&lt;=$J$28,"PASS","FAIL"),"FAIL")</f>
        <v>PASS</v>
      </c>
    </row>
    <row r="29" spans="2:12" ht="16.2" customHeight="1">
      <c r="B29" s="62">
        <v>19</v>
      </c>
      <c r="C29" s="67" t="s">
        <v>271</v>
      </c>
      <c r="D29" s="67"/>
      <c r="E29" s="67"/>
      <c r="F29" s="67"/>
      <c r="G29" s="77">
        <v>195.4905405141113</v>
      </c>
      <c r="H29" s="36">
        <f>$J$100</f>
        <v>195.490540514111</v>
      </c>
      <c r="I29" s="72">
        <f>IF(AND(ISNUMBER($G$29),ISNUMBER($H$29)),ABS($H$29-$G$29),"")</f>
        <v>0</v>
      </c>
      <c r="J29" s="73">
        <v>1E-09</v>
      </c>
      <c r="K29" s="74" t="str">
        <f>IF(AND(ISNUMBER($G$29),ISNUMBER($H$29)),IF(ABS($H$29-$G$29)&lt;=$J$29,"PASS","FAIL"),"FAIL")</f>
        <v>PASS</v>
      </c>
    </row>
    <row r="31" spans="2:12" ht="21" customHeight="1">
      <c r="B31" s="8" t="s">
        <v>272</v>
      </c>
      <c r="C31" s="8"/>
      <c r="D31" s="8"/>
      <c r="E31" s="8"/>
      <c r="F31" s="8"/>
      <c r="G31" s="8"/>
      <c r="H31" s="8"/>
      <c r="I31" s="8"/>
      <c r="J31" s="8"/>
      <c r="K31" s="8"/>
      <c r="L31" s="8"/>
    </row>
    <row r="32" spans="2:12" ht="5" customHeight="1"/>
    <row r="33" spans="2:12">
      <c r="B33" s="21" t="s">
        <v>273</v>
      </c>
      <c r="C33" s="21"/>
      <c r="D33" s="21"/>
      <c r="E33" s="21"/>
      <c r="F33" s="21"/>
      <c r="G33" s="21"/>
      <c r="H33" s="21"/>
      <c r="I33" s="21"/>
      <c r="J33" s="21"/>
      <c r="K33" s="21"/>
      <c r="L33" s="21"/>
    </row>
    <row r="34" spans="2:12">
      <c r="B34" s="32" t="s">
        <v>274</v>
      </c>
      <c r="C34" s="32"/>
      <c r="D34" s="32"/>
      <c r="E34" s="32"/>
      <c r="F34" s="32"/>
    </row>
    <row r="35" spans="2:12">
      <c r="B35" s="27" t="s">
        <v>77</v>
      </c>
      <c r="C35" s="27"/>
      <c r="D35" s="27"/>
      <c r="E35" s="77">
        <v>48</v>
      </c>
      <c r="F35" s="7"/>
    </row>
    <row r="36" spans="2:12">
      <c r="B36" s="27" t="s">
        <v>164</v>
      </c>
      <c r="C36" s="27"/>
      <c r="D36" s="27"/>
      <c r="E36" s="78">
        <v>0.2</v>
      </c>
      <c r="F36" s="7"/>
    </row>
    <row r="37" spans="2:12">
      <c r="B37" s="27" t="s">
        <v>79</v>
      </c>
      <c r="C37" s="27"/>
      <c r="D37" s="27"/>
      <c r="E37" s="78">
        <v>0.2</v>
      </c>
      <c r="F37" s="7"/>
    </row>
    <row r="38" spans="2:12">
      <c r="B38" s="27" t="s">
        <v>80</v>
      </c>
      <c r="C38" s="27"/>
      <c r="D38" s="27"/>
      <c r="E38" s="78">
        <v>0.96</v>
      </c>
      <c r="F38" s="7"/>
    </row>
    <row r="39" spans="2:12">
      <c r="B39" s="27" t="s">
        <v>275</v>
      </c>
      <c r="C39" s="27"/>
      <c r="D39" s="27"/>
      <c r="E39" s="77">
        <v>0.5</v>
      </c>
      <c r="F39" s="7"/>
    </row>
    <row r="40" spans="2:12">
      <c r="B40" s="27" t="s">
        <v>276</v>
      </c>
      <c r="C40" s="27"/>
      <c r="D40" s="27"/>
      <c r="E40" s="66" t="s">
        <v>83</v>
      </c>
      <c r="F40" s="66"/>
    </row>
    <row r="41" spans="2:12">
      <c r="B41" s="27" t="s">
        <v>84</v>
      </c>
      <c r="C41" s="27"/>
      <c r="D41" s="27"/>
      <c r="E41" s="66" t="s">
        <v>85</v>
      </c>
      <c r="F41" s="66"/>
    </row>
    <row r="43" spans="2:12">
      <c r="B43" s="32" t="s">
        <v>277</v>
      </c>
      <c r="C43" s="32"/>
      <c r="D43" s="32"/>
      <c r="E43" s="32"/>
      <c r="F43" s="32"/>
      <c r="G43" s="32"/>
      <c r="H43" s="32"/>
      <c r="I43" s="32"/>
      <c r="J43" s="32"/>
      <c r="K43" s="32"/>
      <c r="L43" s="32"/>
    </row>
    <row r="44" spans="2:12" ht="14" customHeight="1">
      <c r="B44" s="33"/>
      <c r="C44" s="33" t="str">
        <f>$E$40&amp;"/h"</f>
        <v>kg/h</v>
      </c>
      <c r="D44" s="33"/>
      <c r="E44" s="33"/>
      <c r="F44" s="33" t="str">
        <f>Currency&amp;"/"&amp;$E$40</f>
        <v>USD/kg</v>
      </c>
      <c r="G44" s="33" t="str">
        <f>$E$41</f>
        <v>L/min</v>
      </c>
      <c r="H44" s="33" t="str">
        <f>Currency&amp;"/"&amp;GasPer</f>
        <v>USD/m3</v>
      </c>
      <c r="I44" s="33" t="s">
        <v>89</v>
      </c>
      <c r="J44" s="33" t="str">
        <f>Currency&amp;"/kg dep."</f>
        <v>USD/kg dep.</v>
      </c>
    </row>
    <row r="45" spans="2:12" ht="32" customHeight="1">
      <c r="B45" s="34" t="s">
        <v>62</v>
      </c>
      <c r="C45" s="34" t="s">
        <v>63</v>
      </c>
      <c r="D45" s="34" t="s">
        <v>64</v>
      </c>
      <c r="E45" s="34" t="s">
        <v>65</v>
      </c>
      <c r="F45" s="34" t="s">
        <v>66</v>
      </c>
      <c r="G45" s="34" t="s">
        <v>67</v>
      </c>
      <c r="H45" s="34" t="s">
        <v>68</v>
      </c>
      <c r="I45" s="34" t="s">
        <v>69</v>
      </c>
      <c r="J45" s="34" t="s">
        <v>70</v>
      </c>
    </row>
    <row r="46" spans="2:12">
      <c r="B46" s="66" t="s">
        <v>90</v>
      </c>
      <c r="C46" s="77">
        <v>3.2</v>
      </c>
      <c r="D46" s="78">
        <v>0.95</v>
      </c>
      <c r="E46" s="78">
        <v>0.35</v>
      </c>
      <c r="F46" s="77">
        <v>2.4</v>
      </c>
      <c r="G46" s="79">
        <v>15</v>
      </c>
      <c r="H46" s="77">
        <v>2.2</v>
      </c>
      <c r="I46" s="36">
        <f>IF(N(tblVerifyProcesses[[#This Row],[Deposition rate]])=0,"",60/(tblVerifyProcesses[[#This Row],[Deposition rate]]*IF($E$40="lb",0.45359237,1)))</f>
        <v>18.75</v>
      </c>
      <c r="J46" s="37">
        <f>IF(tblVerifyProcesses[[#This Row],[Arc min per kg]]="","",tblVerifyProcesses[[#This Row],[Filler price]]/IF($E$40="lb",0.45359237,1)/tblVerifyProcesses[[#This Row],[Efficiency]]+tblVerifyProcesses[[#This Row],[Gas flow]]*IF($E$41="ft3/h",28.316846592/60,1)*tblVerifyProcesses[[#This Row],[Arc min per kg]]*tblVerifyProcesses[[#This Row],[Gas price]]/IF($E$41="ft3/h",28.316846592,1000))</f>
        <v>3.14506578947368</v>
      </c>
    </row>
    <row r="47" spans="2:12">
      <c r="B47" s="66" t="s">
        <v>91</v>
      </c>
      <c r="C47" s="77">
        <v>4.5</v>
      </c>
      <c r="D47" s="78">
        <v>0.85</v>
      </c>
      <c r="E47" s="78">
        <v>0.4</v>
      </c>
      <c r="F47" s="77">
        <v>4.1</v>
      </c>
      <c r="G47" s="79">
        <v>18</v>
      </c>
      <c r="H47" s="77">
        <v>1.1</v>
      </c>
      <c r="I47" s="36">
        <f>IF(N(tblVerifyProcesses[[#This Row],[Deposition rate]])=0,"",60/(tblVerifyProcesses[[#This Row],[Deposition rate]]*IF($E$40="lb",0.45359237,1)))</f>
        <v>13.3333333333333</v>
      </c>
      <c r="J47" s="37">
        <f>IF(tblVerifyProcesses[[#This Row],[Arc min per kg]]="","",tblVerifyProcesses[[#This Row],[Filler price]]/IF($E$40="lb",0.45359237,1)/tblVerifyProcesses[[#This Row],[Efficiency]]+tblVerifyProcesses[[#This Row],[Gas flow]]*IF($E$41="ft3/h",28.316846592/60,1)*tblVerifyProcesses[[#This Row],[Arc min per kg]]*tblVerifyProcesses[[#This Row],[Gas price]]/IF($E$41="ft3/h",28.316846592,1000))</f>
        <v>5.08752941176471</v>
      </c>
    </row>
    <row r="48" spans="2:12">
      <c r="B48" s="66" t="s">
        <v>92</v>
      </c>
      <c r="C48" s="77">
        <v>1.2</v>
      </c>
      <c r="D48" s="78">
        <v>0.6</v>
      </c>
      <c r="E48" s="78">
        <v>0.25</v>
      </c>
      <c r="F48" s="77">
        <v>3.8</v>
      </c>
      <c r="G48" s="79">
        <v>0</v>
      </c>
      <c r="H48" s="77">
        <v>0</v>
      </c>
      <c r="I48" s="36">
        <f>IF(N(tblVerifyProcesses[[#This Row],[Deposition rate]])=0,"",60/(tblVerifyProcesses[[#This Row],[Deposition rate]]*IF($E$40="lb",0.45359237,1)))</f>
        <v>50</v>
      </c>
      <c r="J48" s="37">
        <f>IF(tblVerifyProcesses[[#This Row],[Arc min per kg]]="","",tblVerifyProcesses[[#This Row],[Filler price]]/IF($E$40="lb",0.45359237,1)/tblVerifyProcesses[[#This Row],[Efficiency]]+tblVerifyProcesses[[#This Row],[Gas flow]]*IF($E$41="ft3/h",28.316846592/60,1)*tblVerifyProcesses[[#This Row],[Arc min per kg]]*tblVerifyProcesses[[#This Row],[Gas price]]/IF($E$41="ft3/h",28.316846592,1000))</f>
        <v>6.33333333333333</v>
      </c>
    </row>
    <row r="49" spans="2:15">
      <c r="B49" s="66" t="s">
        <v>93</v>
      </c>
      <c r="C49" s="77">
        <v>0.6</v>
      </c>
      <c r="D49" s="78">
        <v>0.98</v>
      </c>
      <c r="E49" s="78">
        <v>0.2</v>
      </c>
      <c r="F49" s="77">
        <v>9.5</v>
      </c>
      <c r="G49" s="79">
        <v>10</v>
      </c>
      <c r="H49" s="77">
        <v>3.1</v>
      </c>
      <c r="I49" s="36">
        <f>IF(N(tblVerifyProcesses[[#This Row],[Deposition rate]])=0,"",60/(tblVerifyProcesses[[#This Row],[Deposition rate]]*IF($E$40="lb",0.45359237,1)))</f>
        <v>100</v>
      </c>
      <c r="J49" s="37">
        <f>IF(tblVerifyProcesses[[#This Row],[Arc min per kg]]="","",tblVerifyProcesses[[#This Row],[Filler price]]/IF($E$40="lb",0.45359237,1)/tblVerifyProcesses[[#This Row],[Efficiency]]+tblVerifyProcesses[[#This Row],[Gas flow]]*IF($E$41="ft3/h",28.316846592/60,1)*tblVerifyProcesses[[#This Row],[Arc min per kg]]*tblVerifyProcesses[[#This Row],[Gas price]]/IF($E$41="ft3/h",28.316846592,1000))</f>
        <v>12.7938775510204</v>
      </c>
    </row>
    <row r="50" spans="2:15">
      <c r="B50" s="66" t="s">
        <v>94</v>
      </c>
      <c r="C50" s="77">
        <v>8</v>
      </c>
      <c r="D50" s="78">
        <v>0.99</v>
      </c>
      <c r="E50" s="78">
        <v>0.5</v>
      </c>
      <c r="F50" s="77">
        <v>2.1</v>
      </c>
      <c r="G50" s="79">
        <v>0</v>
      </c>
      <c r="H50" s="77">
        <v>0</v>
      </c>
      <c r="I50" s="36">
        <f>IF(N(tblVerifyProcesses[[#This Row],[Deposition rate]])=0,"",60/(tblVerifyProcesses[[#This Row],[Deposition rate]]*IF($E$40="lb",0.45359237,1)))</f>
        <v>7.5</v>
      </c>
      <c r="J50" s="37">
        <f>IF(tblVerifyProcesses[[#This Row],[Arc min per kg]]="","",tblVerifyProcesses[[#This Row],[Filler price]]/IF($E$40="lb",0.45359237,1)/tblVerifyProcesses[[#This Row],[Efficiency]]+tblVerifyProcesses[[#This Row],[Gas flow]]*IF($E$41="ft3/h",28.316846592/60,1)*tblVerifyProcesses[[#This Row],[Arc min per kg]]*tblVerifyProcesses[[#This Row],[Gas price]]/IF($E$41="ft3/h",28.316846592,1000))</f>
        <v>2.12121212121212</v>
      </c>
    </row>
    <row r="52" spans="2:15">
      <c r="B52" s="32" t="s">
        <v>278</v>
      </c>
      <c r="C52" s="32"/>
      <c r="D52" s="32"/>
      <c r="E52" s="32"/>
      <c r="F52" s="32"/>
      <c r="G52" s="32"/>
      <c r="H52" s="32"/>
      <c r="I52" s="32"/>
      <c r="J52" s="32"/>
      <c r="K52" s="32"/>
      <c r="L52" s="32"/>
    </row>
    <row r="53" spans="2:15" ht="14" customHeight="1">
      <c r="B53" s="33"/>
      <c r="C53" s="33"/>
      <c r="D53" s="33" t="str">
        <f>$E$64</f>
        <v>mm</v>
      </c>
      <c r="E53" s="33" t="str">
        <f>$E$64</f>
        <v>mm</v>
      </c>
      <c r="F53" s="33"/>
      <c r="G53" s="33"/>
      <c r="H53" s="33"/>
      <c r="I53" s="33"/>
      <c r="J53" s="33"/>
      <c r="K53" s="33" t="str">
        <f>Currency&amp;"/kg"</f>
        <v>USD/kg</v>
      </c>
      <c r="L53" s="33"/>
      <c r="M53" s="33"/>
      <c r="N53" s="33" t="str">
        <f>Currency&amp;"/weldment"</f>
        <v>USD/weldment</v>
      </c>
      <c r="O53" s="33"/>
    </row>
    <row r="54" spans="2:15" ht="32" customHeight="1">
      <c r="B54" s="34" t="s">
        <v>95</v>
      </c>
      <c r="C54" s="34" t="s">
        <v>96</v>
      </c>
      <c r="D54" s="34" t="s">
        <v>97</v>
      </c>
      <c r="E54" s="34" t="s">
        <v>98</v>
      </c>
      <c r="F54" s="34" t="s">
        <v>62</v>
      </c>
      <c r="G54" s="34" t="s">
        <v>99</v>
      </c>
      <c r="H54" s="34" t="s">
        <v>100</v>
      </c>
      <c r="I54" s="34" t="s">
        <v>69</v>
      </c>
      <c r="J54" s="34" t="s">
        <v>101</v>
      </c>
      <c r="K54" s="34" t="s">
        <v>102</v>
      </c>
      <c r="L54" s="34" t="s">
        <v>103</v>
      </c>
      <c r="M54" s="34" t="s">
        <v>104</v>
      </c>
      <c r="N54" s="34" t="s">
        <v>105</v>
      </c>
      <c r="O54" s="34" t="s">
        <v>106</v>
      </c>
    </row>
    <row r="55" spans="2:15">
      <c r="B55" s="66" t="s">
        <v>129</v>
      </c>
      <c r="C55" s="66" t="s">
        <v>130</v>
      </c>
      <c r="D55" s="79">
        <v>6</v>
      </c>
      <c r="E55" s="80">
        <v>1280</v>
      </c>
      <c r="F55" s="66" t="s">
        <v>90</v>
      </c>
      <c r="G55" s="42">
        <f>IF(tblVerifyWelds[[#This Row],[Weld]]="","",IF(tblVerifyWelds[[#This Row],[Joint]]="Fillet",(tblVerifyWelds[[#This Row],[Size]]*IF($E$64="in",25.4,1))^2/2,(tblVerifyWelds[[#This Row],[Size]]*IF($E$64="in",25.4,1))^2*TAN(RADIANS($E$65/2))+$E$66*IF($E$64="in",25.4,1)*tblVerifyWelds[[#This Row],[Size]]*IF($E$64="in",25.4,1))*(1+$E$67))</f>
        <v>19.8</v>
      </c>
      <c r="H55" s="43">
        <f>IF(tblVerifyWelds[[#This Row],[Weld]]="","",tblVerifyWelds[[#This Row],[Area (mm2)]]*tblVerifyWelds[[#This Row],[Length]]*IF($E$64="in",25.4,1)*$E$68/1000000)</f>
        <v>0.1989504</v>
      </c>
      <c r="I55" s="77">
        <v>18.75</v>
      </c>
      <c r="J55" s="81">
        <v>0.35</v>
      </c>
      <c r="K55" s="77">
        <v>3.145065789473684</v>
      </c>
      <c r="L55" s="42">
        <f>IF(tblVerifyWelds[[#This Row],[Weld]]="","",IF(tblVerifyWelds[[#This Row],[Arc min per kg]]="","",tblVerifyWelds[[#This Row],[Weld metal (kg)]]*tblVerifyWelds[[#This Row],[Arc min per kg]]))</f>
        <v>3.73032</v>
      </c>
      <c r="M55" s="42">
        <f>IF(tblVerifyWelds[[#This Row],[Weld]]="","",IF(OR(tblVerifyWelds[[#This Row],[Arc time (min)]]="",N(tblVerifyWelds[[#This Row],[Op factor]])=0),"",tblVerifyWelds[[#This Row],[Arc time (min)]]/tblVerifyWelds[[#This Row],[Op factor]]))</f>
        <v>10.6580571428571</v>
      </c>
      <c r="N55" s="36">
        <f>IF(tblVerifyWelds[[#This Row],[Weld]]="","",IF(tblVerifyWelds[[#This Row],[Welder time (min)]]="","",tblVerifyWelds[[#This Row],[Weld metal (kg)]]*tblVerifyWelds[[#This Row],[Cons per kg]]+tblVerifyWelds[[#This Row],[Welder time (min)]]/60*$E$35))</f>
        <v>9.15215781112782</v>
      </c>
      <c r="O55" s="45" t="str">
        <f>IF(tblVerifyWelds[[#This Row],[Weld]]="","",IF(tblVerifyWelds[[#This Row],[Joint]]="","Missing joint",IF(tblVerifyWelds[[#This Row],[Process]]="","Missing process",IF(tblVerifyWelds[[#This Row],[Arc min per kg]]="","Process not on Setup list",IF(N(tblVerifyWelds[[#This Row],[Length]])=0,"Enter a weld length","OK")))))</f>
        <v>OK</v>
      </c>
    </row>
    <row r="56" spans="2:15">
      <c r="B56" s="66" t="s">
        <v>131</v>
      </c>
      <c r="C56" s="66" t="s">
        <v>132</v>
      </c>
      <c r="D56" s="79">
        <v>10</v>
      </c>
      <c r="E56" s="80">
        <v>800</v>
      </c>
      <c r="F56" s="66" t="s">
        <v>91</v>
      </c>
      <c r="G56" s="42">
        <f>IF(tblVerifyWelds[[#This Row],[Weld]]="","",IF(tblVerifyWelds[[#This Row],[Joint]]="Fillet",(tblVerifyWelds[[#This Row],[Size]]*IF($E$64="in",25.4,1))^2/2,(tblVerifyWelds[[#This Row],[Size]]*IF($E$64="in",25.4,1))^2*TAN(RADIANS($E$65/2))+$E$66*IF($E$64="in",25.4,1)*tblVerifyWelds[[#This Row],[Size]]*IF($E$64="in",25.4,1))*(1+$E$67))</f>
        <v>85.5085296108588</v>
      </c>
      <c r="H56" s="43">
        <f>IF(tblVerifyWelds[[#This Row],[Weld]]="","",tblVerifyWelds[[#This Row],[Area (mm2)]]*tblVerifyWelds[[#This Row],[Length]]*IF($E$64="in",25.4,1)*$E$68/1000000)</f>
        <v>0.536993565956194</v>
      </c>
      <c r="I56" s="77">
        <v>13.33333333333333</v>
      </c>
      <c r="J56" s="81">
        <v>0.4</v>
      </c>
      <c r="K56" s="77">
        <v>5.087529411764706</v>
      </c>
      <c r="L56" s="42">
        <f>IF(tblVerifyWelds[[#This Row],[Weld]]="","",IF(tblVerifyWelds[[#This Row],[Arc min per kg]]="","",tblVerifyWelds[[#This Row],[Weld metal (kg)]]*tblVerifyWelds[[#This Row],[Arc min per kg]]))</f>
        <v>7.15991421274925</v>
      </c>
      <c r="M56" s="42">
        <f>IF(tblVerifyWelds[[#This Row],[Weld]]="","",IF(OR(tblVerifyWelds[[#This Row],[Arc time (min)]]="",N(tblVerifyWelds[[#This Row],[Op factor]])=0),"",tblVerifyWelds[[#This Row],[Arc time (min)]]/tblVerifyWelds[[#This Row],[Op factor]]))</f>
        <v>17.8997855318731</v>
      </c>
      <c r="N56" s="36">
        <f>IF(tblVerifyWelds[[#This Row],[Weld]]="","",IF(tblVerifyWelds[[#This Row],[Welder time (min)]]="","",tblVerifyWelds[[#This Row],[Weld metal (kg)]]*tblVerifyWelds[[#This Row],[Cons per kg]]+tblVerifyWelds[[#This Row],[Welder time (min)]]/60*$E$35))</f>
        <v>17.051798986229</v>
      </c>
      <c r="O56" s="45" t="str">
        <f>IF(tblVerifyWelds[[#This Row],[Weld]]="","",IF(tblVerifyWelds[[#This Row],[Joint]]="","Missing joint",IF(tblVerifyWelds[[#This Row],[Process]]="","Missing process",IF(tblVerifyWelds[[#This Row],[Arc min per kg]]="","Process not on Setup list",IF(N(tblVerifyWelds[[#This Row],[Length]])=0,"Enter a weld length","OK")))))</f>
        <v>OK</v>
      </c>
    </row>
    <row r="57" spans="2:15">
      <c r="B57" s="66" t="s">
        <v>133</v>
      </c>
      <c r="C57" s="66" t="s">
        <v>130</v>
      </c>
      <c r="D57" s="79">
        <v>5</v>
      </c>
      <c r="E57" s="80">
        <v>1600</v>
      </c>
      <c r="F57" s="66" t="s">
        <v>90</v>
      </c>
      <c r="G57" s="42">
        <f>IF(tblVerifyWelds[[#This Row],[Weld]]="","",IF(tblVerifyWelds[[#This Row],[Joint]]="Fillet",(tblVerifyWelds[[#This Row],[Size]]*IF($E$64="in",25.4,1))^2/2,(tblVerifyWelds[[#This Row],[Size]]*IF($E$64="in",25.4,1))^2*TAN(RADIANS($E$65/2))+$E$66*IF($E$64="in",25.4,1)*tblVerifyWelds[[#This Row],[Size]]*IF($E$64="in",25.4,1))*(1+$E$67))</f>
        <v>13.75</v>
      </c>
      <c r="H57" s="43">
        <f>IF(tblVerifyWelds[[#This Row],[Weld]]="","",tblVerifyWelds[[#This Row],[Area (mm2)]]*tblVerifyWelds[[#This Row],[Length]]*IF($E$64="in",25.4,1)*$E$68/1000000)</f>
        <v>0.1727</v>
      </c>
      <c r="I57" s="77">
        <v>18.75</v>
      </c>
      <c r="J57" s="81">
        <v>0.35</v>
      </c>
      <c r="K57" s="77">
        <v>3.145065789473684</v>
      </c>
      <c r="L57" s="42">
        <f>IF(tblVerifyWelds[[#This Row],[Weld]]="","",IF(tblVerifyWelds[[#This Row],[Arc min per kg]]="","",tblVerifyWelds[[#This Row],[Weld metal (kg)]]*tblVerifyWelds[[#This Row],[Arc min per kg]]))</f>
        <v>3.238125</v>
      </c>
      <c r="M57" s="42">
        <f>IF(tblVerifyWelds[[#This Row],[Weld]]="","",IF(OR(tblVerifyWelds[[#This Row],[Arc time (min)]]="",N(tblVerifyWelds[[#This Row],[Op factor]])=0),"",tblVerifyWelds[[#This Row],[Arc time (min)]]/tblVerifyWelds[[#This Row],[Op factor]]))</f>
        <v>9.25178571428572</v>
      </c>
      <c r="N57" s="36">
        <f>IF(tblVerifyWelds[[#This Row],[Weld]]="","",IF(tblVerifyWelds[[#This Row],[Welder time (min)]]="","",tblVerifyWelds[[#This Row],[Weld metal (kg)]]*tblVerifyWelds[[#This Row],[Cons per kg]]+tblVerifyWelds[[#This Row],[Welder time (min)]]/60*$E$35))</f>
        <v>7.94458143327068</v>
      </c>
      <c r="O57" s="45" t="str">
        <f>IF(tblVerifyWelds[[#This Row],[Weld]]="","",IF(tblVerifyWelds[[#This Row],[Joint]]="","Missing joint",IF(tblVerifyWelds[[#This Row],[Process]]="","Missing process",IF(tblVerifyWelds[[#This Row],[Arc min per kg]]="","Process not on Setup list",IF(N(tblVerifyWelds[[#This Row],[Length]])=0,"Enter a weld length","OK")))))</f>
        <v>OK</v>
      </c>
    </row>
    <row r="58" spans="2:15">
      <c r="B58" s="66" t="s">
        <v>134</v>
      </c>
      <c r="C58" s="66" t="s">
        <v>130</v>
      </c>
      <c r="D58" s="79">
        <v>4</v>
      </c>
      <c r="E58" s="80">
        <v>960</v>
      </c>
      <c r="F58" s="66" t="s">
        <v>90</v>
      </c>
      <c r="G58" s="42">
        <f>IF(tblVerifyWelds[[#This Row],[Weld]]="","",IF(tblVerifyWelds[[#This Row],[Joint]]="Fillet",(tblVerifyWelds[[#This Row],[Size]]*IF($E$64="in",25.4,1))^2/2,(tblVerifyWelds[[#This Row],[Size]]*IF($E$64="in",25.4,1))^2*TAN(RADIANS($E$65/2))+$E$66*IF($E$64="in",25.4,1)*tblVerifyWelds[[#This Row],[Size]]*IF($E$64="in",25.4,1))*(1+$E$67))</f>
        <v>8.8</v>
      </c>
      <c r="H58" s="43">
        <f>IF(tblVerifyWelds[[#This Row],[Weld]]="","",tblVerifyWelds[[#This Row],[Area (mm2)]]*tblVerifyWelds[[#This Row],[Length]]*IF($E$64="in",25.4,1)*$E$68/1000000)</f>
        <v>0.0663168</v>
      </c>
      <c r="I58" s="77">
        <v>18.75</v>
      </c>
      <c r="J58" s="81">
        <v>0.35</v>
      </c>
      <c r="K58" s="77">
        <v>3.145065789473684</v>
      </c>
      <c r="L58" s="42">
        <f>IF(tblVerifyWelds[[#This Row],[Weld]]="","",IF(tblVerifyWelds[[#This Row],[Arc min per kg]]="","",tblVerifyWelds[[#This Row],[Weld metal (kg)]]*tblVerifyWelds[[#This Row],[Arc min per kg]]))</f>
        <v>1.24344</v>
      </c>
      <c r="M58" s="42">
        <f>IF(tblVerifyWelds[[#This Row],[Weld]]="","",IF(OR(tblVerifyWelds[[#This Row],[Arc time (min)]]="",N(tblVerifyWelds[[#This Row],[Op factor]])=0),"",tblVerifyWelds[[#This Row],[Arc time (min)]]/tblVerifyWelds[[#This Row],[Op factor]]))</f>
        <v>3.55268571428572</v>
      </c>
      <c r="N58" s="36">
        <f>IF(tblVerifyWelds[[#This Row],[Weld]]="","",IF(tblVerifyWelds[[#This Row],[Welder time (min)]]="","",tblVerifyWelds[[#This Row],[Weld metal (kg)]]*tblVerifyWelds[[#This Row],[Cons per kg]]+tblVerifyWelds[[#This Row],[Welder time (min)]]/60*$E$35))</f>
        <v>3.05071927037594</v>
      </c>
      <c r="O58" s="45" t="str">
        <f>IF(tblVerifyWelds[[#This Row],[Weld]]="","",IF(tblVerifyWelds[[#This Row],[Joint]]="","Missing joint",IF(tblVerifyWelds[[#This Row],[Process]]="","Missing process",IF(tblVerifyWelds[[#This Row],[Arc min per kg]]="","Process not on Setup list",IF(N(tblVerifyWelds[[#This Row],[Length]])=0,"Enter a weld length","OK")))))</f>
        <v>OK</v>
      </c>
    </row>
    <row r="59" spans="2:15">
      <c r="B59" s="66" t="s">
        <v>135</v>
      </c>
      <c r="C59" s="66" t="s">
        <v>130</v>
      </c>
      <c r="D59" s="79">
        <v>8</v>
      </c>
      <c r="E59" s="80">
        <v>560</v>
      </c>
      <c r="F59" s="66" t="s">
        <v>91</v>
      </c>
      <c r="G59" s="42">
        <f>IF(tblVerifyWelds[[#This Row],[Weld]]="","",IF(tblVerifyWelds[[#This Row],[Joint]]="Fillet",(tblVerifyWelds[[#This Row],[Size]]*IF($E$64="in",25.4,1))^2/2,(tblVerifyWelds[[#This Row],[Size]]*IF($E$64="in",25.4,1))^2*TAN(RADIANS($E$65/2))+$E$66*IF($E$64="in",25.4,1)*tblVerifyWelds[[#This Row],[Size]]*IF($E$64="in",25.4,1))*(1+$E$67))</f>
        <v>35.2</v>
      </c>
      <c r="H59" s="43">
        <f>IF(tblVerifyWelds[[#This Row],[Weld]]="","",tblVerifyWelds[[#This Row],[Area (mm2)]]*tblVerifyWelds[[#This Row],[Length]]*IF($E$64="in",25.4,1)*$E$68/1000000)</f>
        <v>0.1547392</v>
      </c>
      <c r="I59" s="77">
        <v>13.33333333333333</v>
      </c>
      <c r="J59" s="81">
        <v>0.4</v>
      </c>
      <c r="K59" s="77">
        <v>5.087529411764706</v>
      </c>
      <c r="L59" s="42">
        <f>IF(tblVerifyWelds[[#This Row],[Weld]]="","",IF(tblVerifyWelds[[#This Row],[Arc min per kg]]="","",tblVerifyWelds[[#This Row],[Weld metal (kg)]]*tblVerifyWelds[[#This Row],[Arc min per kg]]))</f>
        <v>2.06318933333333</v>
      </c>
      <c r="M59" s="42">
        <f>IF(tblVerifyWelds[[#This Row],[Weld]]="","",IF(OR(tblVerifyWelds[[#This Row],[Arc time (min)]]="",N(tblVerifyWelds[[#This Row],[Op factor]])=0),"",tblVerifyWelds[[#This Row],[Arc time (min)]]/tblVerifyWelds[[#This Row],[Op factor]]))</f>
        <v>5.15797333333333</v>
      </c>
      <c r="N59" s="36">
        <f>IF(tblVerifyWelds[[#This Row],[Weld]]="","",IF(tblVerifyWelds[[#This Row],[Welder time (min)]]="","",tblVerifyWelds[[#This Row],[Weld metal (kg)]]*tblVerifyWelds[[#This Row],[Cons per kg]]+tblVerifyWelds[[#This Row],[Welder time (min)]]/60*$E$35))</f>
        <v>4.91361889781961</v>
      </c>
      <c r="O59" s="45" t="str">
        <f>IF(tblVerifyWelds[[#This Row],[Weld]]="","",IF(tblVerifyWelds[[#This Row],[Joint]]="","Missing joint",IF(tblVerifyWelds[[#This Row],[Process]]="","Missing process",IF(tblVerifyWelds[[#This Row],[Arc min per kg]]="","Process not on Setup list",IF(N(tblVerifyWelds[[#This Row],[Length]])=0,"Enter a weld length","OK")))))</f>
        <v>OK</v>
      </c>
    </row>
    <row r="60" spans="2:15">
      <c r="B60" s="66" t="s">
        <v>136</v>
      </c>
      <c r="C60" s="66" t="s">
        <v>130</v>
      </c>
      <c r="D60" s="79">
        <v>3</v>
      </c>
      <c r="E60" s="80">
        <v>120</v>
      </c>
      <c r="F60" s="66" t="s">
        <v>93</v>
      </c>
      <c r="G60" s="42">
        <f>IF(tblVerifyWelds[[#This Row],[Weld]]="","",IF(tblVerifyWelds[[#This Row],[Joint]]="Fillet",(tblVerifyWelds[[#This Row],[Size]]*IF($E$64="in",25.4,1))^2/2,(tblVerifyWelds[[#This Row],[Size]]*IF($E$64="in",25.4,1))^2*TAN(RADIANS($E$65/2))+$E$66*IF($E$64="in",25.4,1)*tblVerifyWelds[[#This Row],[Size]]*IF($E$64="in",25.4,1))*(1+$E$67))</f>
        <v>4.95</v>
      </c>
      <c r="H60" s="43">
        <f>IF(tblVerifyWelds[[#This Row],[Weld]]="","",tblVerifyWelds[[#This Row],[Area (mm2)]]*tblVerifyWelds[[#This Row],[Length]]*IF($E$64="in",25.4,1)*$E$68/1000000)</f>
        <v>0.0046629</v>
      </c>
      <c r="I60" s="77">
        <v>100</v>
      </c>
      <c r="J60" s="81">
        <v>0.2</v>
      </c>
      <c r="K60" s="77">
        <v>12.79387755102041</v>
      </c>
      <c r="L60" s="42">
        <f>IF(tblVerifyWelds[[#This Row],[Weld]]="","",IF(tblVerifyWelds[[#This Row],[Arc min per kg]]="","",tblVerifyWelds[[#This Row],[Weld metal (kg)]]*tblVerifyWelds[[#This Row],[Arc min per kg]]))</f>
        <v>0.46629</v>
      </c>
      <c r="M60" s="42">
        <f>IF(tblVerifyWelds[[#This Row],[Weld]]="","",IF(OR(tblVerifyWelds[[#This Row],[Arc time (min)]]="",N(tblVerifyWelds[[#This Row],[Op factor]])=0),"",tblVerifyWelds[[#This Row],[Arc time (min)]]/tblVerifyWelds[[#This Row],[Op factor]]))</f>
        <v>2.33145</v>
      </c>
      <c r="N60" s="36">
        <f>IF(tblVerifyWelds[[#This Row],[Weld]]="","",IF(tblVerifyWelds[[#This Row],[Welder time (min)]]="","",tblVerifyWelds[[#This Row],[Weld metal (kg)]]*tblVerifyWelds[[#This Row],[Cons per kg]]+tblVerifyWelds[[#This Row],[Welder time (min)]]/60*$E$35))</f>
        <v>1.92481657163265</v>
      </c>
      <c r="O60" s="45" t="str">
        <f>IF(tblVerifyWelds[[#This Row],[Weld]]="","",IF(tblVerifyWelds[[#This Row],[Joint]]="","Missing joint",IF(tblVerifyWelds[[#This Row],[Process]]="","Missing process",IF(tblVerifyWelds[[#This Row],[Arc min per kg]]="","Process not on Setup list",IF(N(tblVerifyWelds[[#This Row],[Length]])=0,"Enter a weld length","OK")))))</f>
        <v>OK</v>
      </c>
    </row>
    <row r="61" spans="2:15">
      <c r="B61" s="66" t="s">
        <v>279</v>
      </c>
      <c r="C61" s="66" t="s">
        <v>130</v>
      </c>
      <c r="D61" s="79">
        <v>5</v>
      </c>
      <c r="E61" s="80">
        <v>0</v>
      </c>
      <c r="F61" s="66" t="s">
        <v>90</v>
      </c>
      <c r="G61" s="42">
        <f>IF(tblVerifyWelds[[#This Row],[Weld]]="","",IF(tblVerifyWelds[[#This Row],[Joint]]="Fillet",(tblVerifyWelds[[#This Row],[Size]]*IF($E$64="in",25.4,1))^2/2,(tblVerifyWelds[[#This Row],[Size]]*IF($E$64="in",25.4,1))^2*TAN(RADIANS($E$65/2))+$E$66*IF($E$64="in",25.4,1)*tblVerifyWelds[[#This Row],[Size]]*IF($E$64="in",25.4,1))*(1+$E$67))</f>
        <v>13.75</v>
      </c>
      <c r="H61" s="43">
        <f>IF(tblVerifyWelds[[#This Row],[Weld]]="","",tblVerifyWelds[[#This Row],[Area (mm2)]]*tblVerifyWelds[[#This Row],[Length]]*IF($E$64="in",25.4,1)*$E$68/1000000)</f>
        <v>0</v>
      </c>
      <c r="I61" s="77">
        <v>18.75</v>
      </c>
      <c r="J61" s="81">
        <v>0.35</v>
      </c>
      <c r="K61" s="77">
        <v>3.145065789473684</v>
      </c>
      <c r="L61" s="42">
        <f>IF(tblVerifyWelds[[#This Row],[Weld]]="","",IF(tblVerifyWelds[[#This Row],[Arc min per kg]]="","",tblVerifyWelds[[#This Row],[Weld metal (kg)]]*tblVerifyWelds[[#This Row],[Arc min per kg]]))</f>
        <v>0</v>
      </c>
      <c r="M61" s="42">
        <f>IF(tblVerifyWelds[[#This Row],[Weld]]="","",IF(OR(tblVerifyWelds[[#This Row],[Arc time (min)]]="",N(tblVerifyWelds[[#This Row],[Op factor]])=0),"",tblVerifyWelds[[#This Row],[Arc time (min)]]/tblVerifyWelds[[#This Row],[Op factor]]))</f>
        <v>0</v>
      </c>
      <c r="N61" s="36">
        <f>IF(tblVerifyWelds[[#This Row],[Weld]]="","",IF(tblVerifyWelds[[#This Row],[Welder time (min)]]="","",tblVerifyWelds[[#This Row],[Weld metal (kg)]]*tblVerifyWelds[[#This Row],[Cons per kg]]+tblVerifyWelds[[#This Row],[Welder time (min)]]/60*$E$35))</f>
        <v>0</v>
      </c>
      <c r="O61" s="45" t="str">
        <f>IF(tblVerifyWelds[[#This Row],[Weld]]="","",IF(tblVerifyWelds[[#This Row],[Joint]]="","Missing joint",IF(tblVerifyWelds[[#This Row],[Process]]="","Missing process",IF(tblVerifyWelds[[#This Row],[Arc min per kg]]="","Process not on Setup list",IF(N(tblVerifyWelds[[#This Row],[Length]])=0,"Enter a weld length","OK")))))</f>
        <v>Enter a weld length</v>
      </c>
    </row>
    <row r="63" spans="2:15">
      <c r="B63" s="32" t="s">
        <v>280</v>
      </c>
      <c r="C63" s="32"/>
      <c r="D63" s="32"/>
      <c r="E63" s="32"/>
      <c r="F63" s="32"/>
      <c r="G63" s="32"/>
      <c r="H63" s="32"/>
      <c r="I63" s="32"/>
      <c r="J63" s="32"/>
      <c r="K63" s="32"/>
      <c r="L63" s="32"/>
    </row>
    <row r="64" spans="2:15">
      <c r="B64" s="27" t="s">
        <v>119</v>
      </c>
      <c r="C64" s="27"/>
      <c r="D64" s="27"/>
      <c r="E64" s="66" t="s">
        <v>120</v>
      </c>
      <c r="F64" s="66"/>
    </row>
    <row r="65" spans="2:12">
      <c r="B65" s="27" t="s">
        <v>121</v>
      </c>
      <c r="C65" s="27"/>
      <c r="D65" s="27"/>
      <c r="E65" s="79">
        <v>60</v>
      </c>
      <c r="F65" s="7" t="s">
        <v>122</v>
      </c>
    </row>
    <row r="66" spans="2:12">
      <c r="B66" s="27" t="s">
        <v>123</v>
      </c>
      <c r="C66" s="27"/>
      <c r="D66" s="27"/>
      <c r="E66" s="77">
        <v>2</v>
      </c>
      <c r="F66" s="7" t="str">
        <f>$E$64</f>
        <v>mm</v>
      </c>
    </row>
    <row r="67" spans="2:12">
      <c r="B67" s="27" t="s">
        <v>124</v>
      </c>
      <c r="C67" s="27"/>
      <c r="D67" s="27"/>
      <c r="E67" s="78">
        <v>0.1</v>
      </c>
      <c r="F67" s="7"/>
    </row>
    <row r="68" spans="2:12">
      <c r="B68" s="27" t="s">
        <v>125</v>
      </c>
      <c r="C68" s="27"/>
      <c r="D68" s="27"/>
      <c r="E68" s="77">
        <v>7.85</v>
      </c>
      <c r="F68" s="7" t="s">
        <v>126</v>
      </c>
    </row>
    <row r="70" spans="2:12">
      <c r="B70" s="32" t="s">
        <v>281</v>
      </c>
      <c r="C70" s="32"/>
      <c r="D70" s="32"/>
      <c r="E70" s="32"/>
      <c r="F70" s="32"/>
      <c r="G70" s="32"/>
      <c r="H70" s="32"/>
      <c r="I70" s="32"/>
      <c r="J70" s="32"/>
      <c r="K70" s="32"/>
      <c r="L70" s="32"/>
    </row>
    <row r="71" spans="2:12">
      <c r="B71" s="27" t="s">
        <v>138</v>
      </c>
      <c r="C71" s="27"/>
      <c r="D71" s="27"/>
      <c r="E71" s="43">
        <f>SUM(tblVerifyWelds[Weld metal (kg)])</f>
        <v>1.13436286595619</v>
      </c>
      <c r="F71" s="7" t="s">
        <v>83</v>
      </c>
    </row>
    <row r="72" spans="2:12">
      <c r="B72" s="17" t="s">
        <v>139</v>
      </c>
      <c r="C72" s="17"/>
      <c r="D72" s="17"/>
      <c r="E72" s="46">
        <f>SUM(tblVerifyWelds[Arc time (min)])</f>
        <v>17.9012785460826</v>
      </c>
      <c r="F72" s="7" t="s">
        <v>140</v>
      </c>
    </row>
    <row r="73" spans="2:12">
      <c r="B73" s="27" t="s">
        <v>141</v>
      </c>
      <c r="C73" s="27"/>
      <c r="D73" s="27"/>
      <c r="E73" s="42">
        <f>SUM(tblVerifyWelds[Welder time (min)])</f>
        <v>48.851737436635</v>
      </c>
      <c r="F73" s="7" t="s">
        <v>140</v>
      </c>
    </row>
    <row r="74" spans="2:12">
      <c r="B74" s="27" t="s">
        <v>142</v>
      </c>
      <c r="C74" s="27"/>
      <c r="D74" s="27"/>
      <c r="E74" s="37">
        <f>SUMPRODUCT(tblVerifyWelds[Weld metal (kg)],tblVerifyWelds[Cons per kg])</f>
        <v>4.95630302114772</v>
      </c>
      <c r="F74" s="7" t="str">
        <f>Currency</f>
        <v>USD</v>
      </c>
    </row>
    <row r="76" spans="2:12">
      <c r="B76" s="32" t="s">
        <v>282</v>
      </c>
      <c r="C76" s="32"/>
      <c r="D76" s="32"/>
      <c r="E76" s="32"/>
      <c r="F76" s="32"/>
      <c r="G76" s="32"/>
      <c r="H76" s="32"/>
      <c r="I76" s="32"/>
      <c r="J76" s="32"/>
      <c r="K76" s="32"/>
      <c r="L76" s="32"/>
    </row>
    <row r="77" spans="2:12">
      <c r="B77" s="27" t="s">
        <v>144</v>
      </c>
      <c r="C77" s="27"/>
      <c r="D77" s="27"/>
      <c r="E77" s="79">
        <v>35</v>
      </c>
      <c r="F77" s="7" t="s">
        <v>140</v>
      </c>
    </row>
    <row r="78" spans="2:12">
      <c r="B78" s="27" t="s">
        <v>145</v>
      </c>
      <c r="C78" s="27"/>
      <c r="D78" s="27"/>
      <c r="E78" s="79">
        <v>12</v>
      </c>
      <c r="F78" s="7" t="s">
        <v>140</v>
      </c>
    </row>
    <row r="79" spans="2:12">
      <c r="B79" s="27" t="s">
        <v>146</v>
      </c>
      <c r="C79" s="27"/>
      <c r="D79" s="27"/>
      <c r="E79" s="79">
        <v>15</v>
      </c>
      <c r="F79" s="7" t="s">
        <v>140</v>
      </c>
    </row>
    <row r="80" spans="2:12">
      <c r="B80" s="27" t="s">
        <v>147</v>
      </c>
      <c r="C80" s="27"/>
      <c r="D80" s="27"/>
      <c r="E80" s="77">
        <v>8</v>
      </c>
      <c r="F80" s="7" t="str">
        <f>Currency</f>
        <v>USD</v>
      </c>
    </row>
    <row r="81" spans="2:12">
      <c r="B81" s="27" t="s">
        <v>148</v>
      </c>
      <c r="C81" s="27"/>
      <c r="D81" s="27"/>
      <c r="E81" s="77">
        <v>1.5</v>
      </c>
      <c r="F81" s="7" t="s">
        <v>149</v>
      </c>
    </row>
    <row r="82" spans="2:12">
      <c r="B82" s="27" t="s">
        <v>150</v>
      </c>
      <c r="C82" s="27"/>
      <c r="D82" s="27"/>
      <c r="E82" s="80">
        <v>650</v>
      </c>
      <c r="F82" s="7" t="str">
        <f>Currency</f>
        <v>USD</v>
      </c>
    </row>
    <row r="83" spans="2:12">
      <c r="B83" s="17" t="s">
        <v>151</v>
      </c>
      <c r="C83" s="17"/>
      <c r="D83" s="17"/>
      <c r="E83" s="46">
        <f>$E$73+$E$77+$E$78+$E$79</f>
        <v>110.851737436635</v>
      </c>
      <c r="F83" s="7" t="s">
        <v>140</v>
      </c>
    </row>
    <row r="84" spans="2:12">
      <c r="B84" s="27" t="s">
        <v>152</v>
      </c>
      <c r="C84" s="27"/>
      <c r="D84" s="27"/>
      <c r="E84" s="36">
        <f>$E$83/60*$E$35</f>
        <v>88.681389949308</v>
      </c>
      <c r="F84" s="7" t="str">
        <f>Currency</f>
        <v>USD</v>
      </c>
    </row>
    <row r="85" spans="2:12">
      <c r="B85" s="27" t="s">
        <v>153</v>
      </c>
      <c r="C85" s="27"/>
      <c r="D85" s="27"/>
      <c r="E85" s="36">
        <f>$E$81*$E$35</f>
        <v>72</v>
      </c>
      <c r="F85" s="7" t="str">
        <f>Currency</f>
        <v>USD</v>
      </c>
    </row>
    <row r="87" spans="2:12">
      <c r="B87" s="32" t="s">
        <v>283</v>
      </c>
      <c r="C87" s="32"/>
      <c r="D87" s="32"/>
      <c r="E87" s="32"/>
      <c r="F87" s="32"/>
      <c r="G87" s="32"/>
      <c r="H87" s="32"/>
      <c r="I87" s="32"/>
      <c r="J87" s="32"/>
      <c r="K87" s="32"/>
      <c r="L87" s="32"/>
    </row>
    <row r="88" spans="2:12">
      <c r="B88" s="47" t="s">
        <v>155</v>
      </c>
      <c r="C88" s="47"/>
      <c r="D88" s="47"/>
      <c r="E88" s="34" t="s">
        <v>156</v>
      </c>
      <c r="F88" s="80">
        <v>5</v>
      </c>
      <c r="G88" s="80">
        <v>10</v>
      </c>
      <c r="H88" s="80">
        <v>25</v>
      </c>
      <c r="I88" s="80">
        <v>50</v>
      </c>
      <c r="J88" s="80">
        <v>100</v>
      </c>
    </row>
    <row r="89" spans="2:12">
      <c r="B89" s="27" t="s">
        <v>157</v>
      </c>
      <c r="C89" s="27"/>
      <c r="D89" s="27"/>
      <c r="E89" s="7" t="s">
        <v>158</v>
      </c>
      <c r="F89" s="49">
        <f>CEILING($F$88/$E$38,1)</f>
        <v>6</v>
      </c>
      <c r="G89" s="49">
        <f>CEILING($G$88/$E$38,1)</f>
        <v>11</v>
      </c>
      <c r="H89" s="49">
        <f>CEILING($H$88/$E$38,1)</f>
        <v>27</v>
      </c>
      <c r="I89" s="49">
        <f>CEILING($I$88/$E$38,1)</f>
        <v>53</v>
      </c>
      <c r="J89" s="49">
        <f>CEILING($J$88/$E$38,1)</f>
        <v>105</v>
      </c>
    </row>
    <row r="90" spans="2:12">
      <c r="B90" s="27" t="s">
        <v>159</v>
      </c>
      <c r="C90" s="27"/>
      <c r="D90" s="27"/>
      <c r="E90" s="7" t="str">
        <f>Currency&amp;"/weldment"</f>
        <v>USD/weldment</v>
      </c>
      <c r="F90" s="36">
        <f>$E$74*$F$89/$F$88</f>
        <v>5.94756362537726</v>
      </c>
      <c r="G90" s="36">
        <f>$E$74*$G$89/$G$88</f>
        <v>5.45193332326249</v>
      </c>
      <c r="H90" s="36">
        <f>$E$74*$H$89/$H$88</f>
        <v>5.35280726283954</v>
      </c>
      <c r="I90" s="36">
        <f>$E$74*$I$89/$I$88</f>
        <v>5.25368120241658</v>
      </c>
      <c r="J90" s="36">
        <f>$E$74*$J$89/$J$88</f>
        <v>5.20411817220511</v>
      </c>
    </row>
    <row r="91" spans="2:12">
      <c r="B91" s="27" t="s">
        <v>160</v>
      </c>
      <c r="C91" s="27"/>
      <c r="D91" s="27"/>
      <c r="E91" s="7" t="str">
        <f>Currency&amp;"/weldment"</f>
        <v>USD/weldment</v>
      </c>
      <c r="F91" s="36">
        <f>$E$84*$F$89/$F$88</f>
        <v>106.41766793917</v>
      </c>
      <c r="G91" s="36">
        <f>$E$84*$G$89/$G$88</f>
        <v>97.5495289442388</v>
      </c>
      <c r="H91" s="36">
        <f>$E$84*$H$89/$H$88</f>
        <v>95.7759011452527</v>
      </c>
      <c r="I91" s="36">
        <f>$E$84*$I$89/$I$88</f>
        <v>94.0022733462665</v>
      </c>
      <c r="J91" s="36">
        <f>$E$84*$J$89/$J$88</f>
        <v>93.1154594467734</v>
      </c>
    </row>
    <row r="92" spans="2:12">
      <c r="B92" s="27" t="s">
        <v>161</v>
      </c>
      <c r="C92" s="27"/>
      <c r="D92" s="27"/>
      <c r="E92" s="7" t="str">
        <f>Currency&amp;"/weldment"</f>
        <v>USD/weldment</v>
      </c>
      <c r="F92" s="36">
        <f>$E$80*$F$89/$F$88</f>
        <v>9.6</v>
      </c>
      <c r="G92" s="36">
        <f>$E$80*$G$89/$G$88</f>
        <v>8.8</v>
      </c>
      <c r="H92" s="36">
        <f>$E$80*$H$89/$H$88</f>
        <v>8.64</v>
      </c>
      <c r="I92" s="36">
        <f>$E$80*$I$89/$I$88</f>
        <v>8.48</v>
      </c>
      <c r="J92" s="36">
        <f>$E$80*$J$89/$J$88</f>
        <v>8.4</v>
      </c>
    </row>
    <row r="93" spans="2:12">
      <c r="B93" s="27" t="s">
        <v>162</v>
      </c>
      <c r="C93" s="27"/>
      <c r="D93" s="27"/>
      <c r="E93" s="7" t="str">
        <f>Currency&amp;"/weldment"</f>
        <v>USD/weldment</v>
      </c>
      <c r="F93" s="36">
        <f>$E$85/$F$88</f>
        <v>14.4</v>
      </c>
      <c r="G93" s="36">
        <f>$E$85/$G$88</f>
        <v>7.2</v>
      </c>
      <c r="H93" s="36">
        <f>$E$85/$H$88</f>
        <v>2.88</v>
      </c>
      <c r="I93" s="36">
        <f>$E$85/$I$88</f>
        <v>1.44</v>
      </c>
      <c r="J93" s="36">
        <f>$E$85/$J$88</f>
        <v>0.72</v>
      </c>
    </row>
    <row r="94" spans="2:12">
      <c r="B94" s="27" t="s">
        <v>163</v>
      </c>
      <c r="C94" s="27"/>
      <c r="D94" s="27"/>
      <c r="E94" s="7" t="str">
        <f>Currency&amp;"/weldment"</f>
        <v>USD/weldment</v>
      </c>
      <c r="F94" s="36">
        <f>$E$82/$F$88</f>
        <v>130</v>
      </c>
      <c r="G94" s="36">
        <f>$E$82/$G$88</f>
        <v>65</v>
      </c>
      <c r="H94" s="36">
        <f>$E$82/$H$88</f>
        <v>26</v>
      </c>
      <c r="I94" s="36">
        <f>$E$82/$I$88</f>
        <v>13</v>
      </c>
      <c r="J94" s="36">
        <f>$E$82/$J$88</f>
        <v>6.5</v>
      </c>
    </row>
    <row r="95" spans="2:12">
      <c r="B95" s="27" t="s">
        <v>164</v>
      </c>
      <c r="C95" s="27"/>
      <c r="D95" s="27"/>
      <c r="E95" s="7" t="str">
        <f>Currency&amp;"/weldment"</f>
        <v>USD/weldment</v>
      </c>
      <c r="F95" s="36">
        <f>($F$91+$F$93)*$E$36</f>
        <v>24.1635335878339</v>
      </c>
      <c r="G95" s="36">
        <f>($G$91+$G$93)*$E$36</f>
        <v>20.9499057888478</v>
      </c>
      <c r="H95" s="36">
        <f>($H$91+$H$93)*$E$36</f>
        <v>19.7311802290505</v>
      </c>
      <c r="I95" s="36">
        <f>($I$91+$I$93)*$E$36</f>
        <v>19.0884546692533</v>
      </c>
      <c r="J95" s="36">
        <f>($J$91+$J$93)*$E$36</f>
        <v>18.7670918893547</v>
      </c>
    </row>
    <row r="96" spans="2:12">
      <c r="B96" s="17" t="s">
        <v>165</v>
      </c>
      <c r="C96" s="17"/>
      <c r="D96" s="17"/>
      <c r="E96" s="7" t="str">
        <f>Currency&amp;"/weldment"</f>
        <v>USD/weldment</v>
      </c>
      <c r="F96" s="50">
        <f>$F$90+$F$91+$F$92+$F$93+$F$94+$F$95</f>
        <v>290.528765152381</v>
      </c>
      <c r="G96" s="50">
        <f>$G$90+$G$91+$G$92+$G$93+$G$94+$G$95</f>
        <v>204.951368056349</v>
      </c>
      <c r="H96" s="50">
        <f>$H$90+$H$91+$H$92+$H$93+$H$94+$H$95</f>
        <v>158.379888637143</v>
      </c>
      <c r="I96" s="50">
        <f>$I$90+$I$91+$I$92+$I$93+$I$94+$I$95</f>
        <v>141.264409217936</v>
      </c>
      <c r="J96" s="50">
        <f>$J$90+$J$91+$J$92+$J$93+$J$94+$J$95</f>
        <v>132.706669508333</v>
      </c>
    </row>
    <row r="97" spans="2:10">
      <c r="B97" s="27" t="s">
        <v>166</v>
      </c>
      <c r="C97" s="27"/>
      <c r="D97" s="27"/>
      <c r="E97" s="7" t="str">
        <f>Currency&amp;"/weldment"</f>
        <v>USD/weldment</v>
      </c>
      <c r="F97" s="51">
        <f>CEILING($F$96/(1-$E$37),$E$39)</f>
        <v>363.5</v>
      </c>
      <c r="G97" s="51">
        <f>CEILING($G$96/(1-$E$37),$E$39)</f>
        <v>256.5</v>
      </c>
      <c r="H97" s="51">
        <f>CEILING($H$96/(1-$E$37),$E$39)</f>
        <v>198</v>
      </c>
      <c r="I97" s="51">
        <f>CEILING($I$96/(1-$E$37),$E$39)</f>
        <v>177</v>
      </c>
      <c r="J97" s="51">
        <f>CEILING($J$96/(1-$E$37),$E$39)</f>
        <v>166</v>
      </c>
    </row>
    <row r="98" spans="2:10">
      <c r="B98" s="27" t="s">
        <v>167</v>
      </c>
      <c r="C98" s="27"/>
      <c r="D98" s="27"/>
      <c r="E98" s="7" t="str">
        <f>Currency</f>
        <v>USD</v>
      </c>
      <c r="F98" s="36">
        <f>$F$97*$F$88</f>
        <v>1817.5</v>
      </c>
      <c r="G98" s="36">
        <f>$G$97*$G$88</f>
        <v>2565</v>
      </c>
      <c r="H98" s="36">
        <f>$H$97*$H$88</f>
        <v>4950</v>
      </c>
      <c r="I98" s="36">
        <f>$I$97*$I$88</f>
        <v>8850</v>
      </c>
      <c r="J98" s="36">
        <f>$J$97*$J$88</f>
        <v>16600</v>
      </c>
    </row>
    <row r="99" spans="2:10">
      <c r="B99" s="27" t="s">
        <v>168</v>
      </c>
      <c r="C99" s="27"/>
      <c r="D99" s="27"/>
      <c r="E99" s="7" t="s">
        <v>169</v>
      </c>
      <c r="F99" s="52">
        <f>($F$97-$F$96)/$F$97</f>
        <v>0.20074617564682</v>
      </c>
      <c r="G99" s="52">
        <f>($G$97-$G$96)/$G$97</f>
        <v>0.200969325316378</v>
      </c>
      <c r="H99" s="52">
        <f>($H$97-$H$96)/$H$97</f>
        <v>0.200101572539683</v>
      </c>
      <c r="I99" s="52">
        <f>($I$97-$I$96)/$I$97</f>
        <v>0.201895993119003</v>
      </c>
      <c r="J99" s="52">
        <f>($J$97-$J$96)/$J$97</f>
        <v>0.200562231877511</v>
      </c>
    </row>
    <row r="100" spans="2:10">
      <c r="B100" s="27" t="s">
        <v>170</v>
      </c>
      <c r="C100" s="27"/>
      <c r="D100" s="27"/>
      <c r="E100" s="7" t="s">
        <v>149</v>
      </c>
      <c r="F100" s="46">
        <f>$E$81+$F$89*$E$83/60</f>
        <v>12.5851737436635</v>
      </c>
      <c r="G100" s="46">
        <f>$E$81+$G$89*$E$83/60</f>
        <v>21.8228185300498</v>
      </c>
      <c r="H100" s="46">
        <f>$E$81+$H$89*$E$83/60</f>
        <v>51.3832818464858</v>
      </c>
      <c r="I100" s="46">
        <f>$E$81+$I$89*$E$83/60</f>
        <v>99.4190347356943</v>
      </c>
      <c r="J100" s="46">
        <f>$E$81+$J$89*$E$83/60</f>
        <v>195.490540514111</v>
      </c>
    </row>
  </sheetData>
  <sheetProtection sheet="1" formatColumns="0" formatRows="0"/>
  <mergeCells count="77">
    <mergeCell ref="A1:O1"/>
    <mergeCell ref="B2:N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B38:D38"/>
    <mergeCell ref="B39:D39"/>
    <mergeCell ref="B40:D40"/>
    <mergeCell ref="E40:F40"/>
    <mergeCell ref="B41:D41"/>
    <mergeCell ref="E41:F41"/>
    <mergeCell ref="B43:L43"/>
    <mergeCell ref="B52:L52"/>
    <mergeCell ref="B63:L63"/>
    <mergeCell ref="B64:D64"/>
    <mergeCell ref="E64:F64"/>
    <mergeCell ref="B65:D65"/>
    <mergeCell ref="B66:D66"/>
    <mergeCell ref="B67:D67"/>
    <mergeCell ref="B68:D68"/>
    <mergeCell ref="B70:L70"/>
    <mergeCell ref="B71:D71"/>
    <mergeCell ref="B72:D72"/>
    <mergeCell ref="B73:D73"/>
    <mergeCell ref="B74:D74"/>
    <mergeCell ref="B76:L76"/>
    <mergeCell ref="B77:D77"/>
    <mergeCell ref="B78:D78"/>
    <mergeCell ref="B79:D79"/>
    <mergeCell ref="B80:D80"/>
    <mergeCell ref="B81:D81"/>
    <mergeCell ref="B82:D82"/>
    <mergeCell ref="B83:D83"/>
    <mergeCell ref="B84:D84"/>
    <mergeCell ref="B85:D85"/>
    <mergeCell ref="B87:L87"/>
    <mergeCell ref="B88:D88"/>
    <mergeCell ref="B89:D89"/>
    <mergeCell ref="B90:D90"/>
    <mergeCell ref="B91:D91"/>
    <mergeCell ref="B92:D92"/>
    <mergeCell ref="B93:D93"/>
    <mergeCell ref="B94:D94"/>
    <mergeCell ref="B95:D95"/>
    <mergeCell ref="B96:D96"/>
    <mergeCell ref="B97:D97"/>
    <mergeCell ref="B98:D98"/>
    <mergeCell ref="B99:D99"/>
    <mergeCell ref="B100:D100"/>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O55:O61">
    <cfRule type="expression" dxfId="3" priority="41">
      <formula>$O55="OK"</formula>
    </cfRule>
    <cfRule type="expression" dxfId="1" priority="42">
      <formula>AND($O55&lt;&gt;"",$O55&lt;&gt;"OK")</formula>
    </cfRule>
  </conditionalFormatting>
  <hyperlinks>
    <hyperlink ref="O2" r:id="rId1" tooltip="Free manufacturing calculators and templates"/>
  </hyperlinks>
  <printOptions horizontalCentered="1"/>
  <pageMargins left="0.4" right="0.4" top="0.7" bottom="0.65" header="0.3" footer="0.3"/>
  <pageSetup fitToHeight="0" orientation="landscape"/>
  <headerFooter>
    <oddHeader>&amp;L&amp;8MFG Calcs - Welding Cost Estimator&amp;R&amp;8&amp;A</oddHeader>
    <oddFooter>&amp;L&amp;8mfgcalcs.com - free manufacturing templates&amp;R&amp;8Page &amp;P of &amp;N</oddFooter>
  </headerFooter>
  <rowBreaks count="2" manualBreakCount="2">
    <brk id="33" max="16383" man="1"/>
    <brk id="69"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49</vt:i4>
      </vt:variant>
    </vt:vector>
  </HeadingPairs>
  <TitlesOfParts>
    <vt:vector size="55" baseType="lpstr">
      <vt:lpstr>Start Here</vt:lpstr>
      <vt:lpstr>Setup</vt:lpstr>
      <vt:lpstr>Weld Estimate</vt:lpstr>
      <vt:lpstr>Dashboard</vt:lpstr>
      <vt:lpstr>Method</vt:lpstr>
      <vt:lpstr>Verify</vt:lpstr>
      <vt:lpstr>ArcMin</vt:lpstr>
      <vt:lpstr>BreakList</vt:lpstr>
      <vt:lpstr>CleanMin</vt:lpstr>
      <vt:lpstr>CoName</vt:lpstr>
      <vt:lpstr>ConsPP</vt:lpstr>
      <vt:lpstr>Currency</vt:lpstr>
      <vt:lpstr>Customer</vt:lpstr>
      <vt:lpstr>DashBreak</vt:lpstr>
      <vt:lpstr>DimUnit</vt:lpstr>
      <vt:lpstr>FillerDensity</vt:lpstr>
      <vt:lpstr>FitUpMin</vt:lpstr>
      <vt:lpstr>FixSetupH</vt:lpstr>
      <vt:lpstr>FixtureCost</vt:lpstr>
      <vt:lpstr>FPY</vt:lpstr>
      <vt:lpstr>GasPer</vt:lpstr>
      <vt:lpstr>GasUnit</vt:lpstr>
      <vt:lpstr>GrooveAngle</vt:lpstr>
      <vt:lpstr>HandleMin</vt:lpstr>
      <vt:lpstr>InspectPP</vt:lpstr>
      <vt:lpstr>KpiArc</vt:lpstr>
      <vt:lpstr>KpiCost</vt:lpstr>
      <vt:lpstr>KpiMargin</vt:lpstr>
      <vt:lpstr>KpiPrice</vt:lpstr>
      <vt:lpstr>LabourMin</vt:lpstr>
      <vt:lpstr>LabourPP</vt:lpstr>
      <vt:lpstr>Margin</vt:lpstr>
      <vt:lpstr>MassUnit</vt:lpstr>
      <vt:lpstr>Overhead</vt:lpstr>
      <vt:lpstr>PartDesc</vt:lpstr>
      <vt:lpstr>PartNo</vt:lpstr>
      <vt:lpstr>PreparedBy</vt:lpstr>
      <vt:lpstr>Dashboard!Print_Area</vt:lpstr>
      <vt:lpstr>Method!Print_Area</vt:lpstr>
      <vt:lpstr>Setup!Print_Area</vt:lpstr>
      <vt:lpstr>'Start Here'!Print_Area</vt:lpstr>
      <vt:lpstr>Verify!Print_Area</vt:lpstr>
      <vt:lpstr>'Weld Estimate'!Print_Area</vt:lpstr>
      <vt:lpstr>Method!Print_Titles</vt:lpstr>
      <vt:lpstr>QuoteDate</vt:lpstr>
      <vt:lpstr>Reinforce</vt:lpstr>
      <vt:lpstr>RootGap</vt:lpstr>
      <vt:lpstr>RoundStep</vt:lpstr>
      <vt:lpstr>SelfCheck</vt:lpstr>
      <vt:lpstr>SelfCheckSummary</vt:lpstr>
      <vt:lpstr>SelIdx</vt:lpstr>
      <vt:lpstr>SetupCost</vt:lpstr>
      <vt:lpstr>WelderRate</vt:lpstr>
      <vt:lpstr>WeldKg</vt:lpstr>
      <vt:lpstr>WeldMin</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Welding Cost Estimator - free Excel template from MFG Calcs</dc:title>
  <dc:subject>Estimate weld metal, arc time, filler, gas and welder labour from a weld list, and price a weldment for five batch quantities.</dc:subject>
  <dc:creator>MFG Calcs</dc:creator>
  <cp:keywords>welding cost, weld cost estimate, deposition rate, arc time, filler metal cost, shielding gas cost, weldment, fabrication quote</cp:keywords>
  <dc:description>https://www.mfgcalcs.com/templates/welding-cost-estimator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welding-cost-estimator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form</vt:lpwstr>
  </property>
  <property fmtid="{D5CDD505-2E9C-101B-9397-08002B2CF9AE}" pid="6" name="Template URL">
    <vt:lpwstr>https://www.mfgcalcs.com/templates/welding-cost-estimator</vt:lpwstr>
  </property>
  <property fmtid="{D5CDD505-2E9C-101B-9397-08002B2CF9AE}" pid="7" name="Template sheet roles">
    <vt:lpwstr>Start Here=start;Setup=setup;Weld Estimate=form;Dashboard=dashboard;Method=method;Verify=verify</vt:lpwstr>
  </property>
</Properties>
</file>