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Work Orders" sheetId="3" r:id="rId3"/>
    <sheet name="Dashboard" sheetId="4" r:id="rId4"/>
    <sheet name="Method" sheetId="5" r:id="rId5"/>
    <sheet name="Verify" sheetId="6" r:id="rId6"/>
  </sheets>
  <definedNames>
    <definedName name="AsOf">Setup!$C$10</definedName>
    <definedName name="CostRate">Setup!$C$9</definedName>
    <definedName name="Currency">Setup!$C$7</definedName>
    <definedName name="Customers">tblCustomers[Customer]</definedName>
    <definedName name="DashCustomer">Dashboard!$C$4</definedName>
    <definedName name="DashFrom">Dashboard!$G$4</definedName>
    <definedName name="DashTo">Dashboard!$K$4</definedName>
    <definedName name="DueSoonDays">Setup!$C$11</definedName>
    <definedName name="EstRate">Setup!$C$8</definedName>
    <definedName name="FFrom">IF(DashFrom="",0,DashFrom)</definedName>
    <definedName name="FTo">IF(DashTo="",2958465,DashTo)</definedName>
    <definedName name="HoursTol">Setup!$C$14</definedName>
    <definedName name="KpiHours">Dashboard!$B$31</definedName>
    <definedName name="KpiHoursVar">Dashboard!$B$37</definedName>
    <definedName name="KpiLead">Dashboard!$J$31</definedName>
    <definedName name="KpiMargin">Dashboard!$G$31</definedName>
    <definedName name="KpiMatVar">Dashboard!$G$37</definedName>
    <definedName name="KpiOpen">Dashboard!$D$8</definedName>
    <definedName name="KpiOpenValue">Dashboard!$J$8</definedName>
    <definedName name="KpiOTD">Dashboard!$B$8</definedName>
    <definedName name="KpiOverdue">Dashboard!$G$8</definedName>
    <definedName name="KpiRateVar">Dashboard!$D$37</definedName>
    <definedName name="KpiShipped">Dashboard!$J$37</definedName>
    <definedName name="KpiVariance">Dashboard!$D$31</definedName>
    <definedName name="_xlnm.Print_Area" localSheetId="3">Dashboard!$A$1:$L$93</definedName>
    <definedName name="_xlnm.Print_Area" localSheetId="4">Method!$A$1:$D$59</definedName>
    <definedName name="_xlnm.Print_Area" localSheetId="1">Setup!$A$1:$E$39</definedName>
    <definedName name="_xlnm.Print_Area" localSheetId="0">'Start Here'!$A$1:$F$56</definedName>
    <definedName name="_xlnm.Print_Area" localSheetId="5">Verify!$A$1:$Z$57</definedName>
    <definedName name="_xlnm.Print_Area" localSheetId="2">'Work Orders'!$A$1:$Z$78</definedName>
    <definedName name="_xlnm.Print_Titles" localSheetId="4">Method!$1:$2</definedName>
    <definedName name="_xlnm.Print_Titles" localSheetId="2">'Work Orders'!$1:$6</definedName>
    <definedName name="SelfCheck">Verify!$D$4</definedName>
    <definedName name="SelfCheckSummary">Verify!$F$4</definedName>
    <definedName name="ShopName">Setup!$C$6</definedName>
    <definedName name="Stages">tblStages[Stage]</definedName>
    <definedName name="TargetMargin">Setup!$C$13</definedName>
    <definedName name="TargetOTD">Setup!$C$12</definedName>
  </definedNames>
  <calcPr calcId="124519" fullCalcOnLoad="1"/>
</workbook>
</file>

<file path=xl/sharedStrings.xml><?xml version="1.0" encoding="utf-8"?>
<sst xmlns="http://schemas.openxmlformats.org/spreadsheetml/2006/main" count="713" uniqueCount="422">
  <si>
    <t>Job Shop Work Order Tracker</t>
  </si>
  <si>
    <t>Read this first: what the workbook does and how to use it.</t>
  </si>
  <si>
    <t>mfgcalcs.com</t>
  </si>
  <si>
    <t>Track every work order from release to shipment and see on-time delivery, open work by stage, and estimated versus actual hours, cost and margin.</t>
  </si>
  <si>
    <t>For: Job shop owners, production managers and planners, estimators and the people who run the open-order meeting.</t>
  </si>
  <si>
    <t>Version 1.0.0  ·  updated 15 October 2026</t>
  </si>
  <si>
    <t>Quick start</t>
  </si>
  <si>
    <t>1.</t>
  </si>
  <si>
    <t>On Setup, type your shop name, currency, estimating and costing rates, targets and status date, then replace the example customers and stages.</t>
  </si>
  <si>
    <t>2.</t>
  </si>
  <si>
    <t>On Work Orders, add one row per job at release: customer, part, quantity, due date, order value and the estimated hours and material.</t>
  </si>
  <si>
    <t>3.</t>
  </si>
  <si>
    <t>As the job runs, keep its stage and actual hours current; when it ships, type the ship date and the actual material.</t>
  </si>
  <si>
    <t>4.</t>
  </si>
  <si>
    <t>Read the Check column: anything other than OK names the problem in words.</t>
  </si>
  <si>
    <t>5.</t>
  </si>
  <si>
    <t>Before the open-order meeting, set the status date on Setup and open the Dashboard; filter by customer or ship dates as needed.</t>
  </si>
  <si>
    <t>What is in this workbook</t>
  </si>
  <si>
    <t>Start Here</t>
  </si>
  <si>
    <t>Setup</t>
  </si>
  <si>
    <t>Rates, targets, status date and the lists that feed the dropdowns.</t>
  </si>
  <si>
    <t>Work Orders</t>
  </si>
  <si>
    <t>One row per work order from release to shipment. Cost, variance, margin, days late and status are calculated.</t>
  </si>
  <si>
    <t>Dashboard</t>
  </si>
  <si>
    <t>On-time delivery and open work by stage, then estimate versus actual hours, cost and margin of shipped jobs.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</si>
  <si>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</si>
  <si>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</si>
  <si>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</si>
  <si>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</si>
  <si>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</si>
  <si>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</si>
  <si>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</si>
  <si>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</si>
  <si>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</si>
  <si>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</si>
  <si>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</si>
  <si>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</si>
  <si>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</si>
  <si>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</si>
  <si>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</si>
  <si>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</si>
  <si>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</si>
  <si>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</si>
  <si>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</si>
  <si>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</si>
  <si>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Job Costing Variance Calculator on mfgcalcs.com</t>
  </si>
  <si>
    <t>Latest version</t>
  </si>
  <si>
    <t>mfgcalcs.com/templates/work-order-tracker</t>
  </si>
  <si>
    <t>More free templates</t>
  </si>
  <si>
    <t>mfgcalcs.com/templates</t>
  </si>
  <si>
    <t>Version</t>
  </si>
  <si>
    <t>1.0.0 (updated 15 October 2026)</t>
  </si>
  <si>
    <t>About the example data</t>
  </si>
  <si>
    <t>Every number already in this workbook is example data for Brennan Precision, a fictional business invented for this template, so the dashboard and charts show something meaningful on day one. It covers 72 work orders for six customers of a CNC machining and fabrication job shop, released from 1 July to 7 October 2026, with status as of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</si>
  <si>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</si>
  <si>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</si>
  <si>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</si>
  <si>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</si>
  <si>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</si>
  <si>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</si>
  <si>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</si>
  <si>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</si>
  <si>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Customer</t>
  </si>
  <si>
    <t>Contact</t>
  </si>
  <si>
    <t>Notes</t>
  </si>
  <si>
    <t>Stage</t>
  </si>
  <si>
    <t>Meaning</t>
  </si>
  <si>
    <t>Shop, rates and targets</t>
  </si>
  <si>
    <t>Shop name</t>
  </si>
  <si>
    <t>Brennan Precision (example)</t>
  </si>
  <si>
    <t>Currency label</t>
  </si>
  <si>
    <t>USD</t>
  </si>
  <si>
    <t>Estimating shop rate</t>
  </si>
  <si>
    <t>Costing shop rate</t>
  </si>
  <si>
    <t>Status date</t>
  </si>
  <si>
    <t>Due soon window</t>
  </si>
  <si>
    <t>days</t>
  </si>
  <si>
    <t>On-time delivery target</t>
  </si>
  <si>
    <t>Margin target</t>
  </si>
  <si>
    <t>Hours overrun tolerance</t>
  </si>
  <si>
    <t>Rates and targets are yours to set; the example figures are invented. 'Near target' means within 5% of a target (90.25% to 95% against a 95% on-time target).</t>
  </si>
  <si>
    <t>Lists that feed the dropdowns</t>
  </si>
  <si>
    <t>Customers</t>
  </si>
  <si>
    <t>Corvane Aero</t>
  </si>
  <si>
    <t>Purchasing</t>
  </si>
  <si>
    <t>Anodise and NDT by outside vendors; long routings</t>
  </si>
  <si>
    <t>Delta Hydraulics</t>
  </si>
  <si>
    <t>Buyer</t>
  </si>
  <si>
    <t>Repeat manifold blocks</t>
  </si>
  <si>
    <t>Hollis Agri</t>
  </si>
  <si>
    <t>Supply chain</t>
  </si>
  <si>
    <t>Welded frames and brackets</t>
  </si>
  <si>
    <t>Marlow Packaging</t>
  </si>
  <si>
    <t>Maintenance</t>
  </si>
  <si>
    <t>Machine parts, often rush</t>
  </si>
  <si>
    <t>Pinecrest Medical</t>
  </si>
  <si>
    <t>Quality</t>
  </si>
  <si>
    <t>Small lots, full inspection</t>
  </si>
  <si>
    <t>Trent Robotics</t>
  </si>
  <si>
    <t>Engineering</t>
  </si>
  <si>
    <t>Prototype and low-volume parts</t>
  </si>
  <si>
    <t>Stages (where an open work order is)</t>
  </si>
  <si>
    <t>Keep names unique. Rows that use a renamed customer or stage stop matching, and their Check column says so.</t>
  </si>
  <si>
    <t>Released</t>
  </si>
  <si>
    <t>Paperwork out, waiting to start</t>
  </si>
  <si>
    <t>Material</t>
  </si>
  <si>
    <t>Waiting for or cutting material</t>
  </si>
  <si>
    <t>Machining</t>
  </si>
  <si>
    <t>On a mill or lathe</t>
  </si>
  <si>
    <t>Fabrication</t>
  </si>
  <si>
    <t>Forming or welding</t>
  </si>
  <si>
    <t>Finishing</t>
  </si>
  <si>
    <t>Deburr, paint or in-house finish</t>
  </si>
  <si>
    <t>Outside processing</t>
  </si>
  <si>
    <t>At a plating, heat treat or NDT vendor</t>
  </si>
  <si>
    <t>Inspection</t>
  </si>
  <si>
    <t>Final inspection and paperwork</t>
  </si>
  <si>
    <t>Ready to ship</t>
  </si>
  <si>
    <t>Packed, waiting for pickup</t>
  </si>
  <si>
    <t>WO No.</t>
  </si>
  <si>
    <t>Part no.</t>
  </si>
  <si>
    <t>Qty</t>
  </si>
  <si>
    <t>Due</t>
  </si>
  <si>
    <t>Shipped</t>
  </si>
  <si>
    <t>Order value</t>
  </si>
  <si>
    <t>Est hours</t>
  </si>
  <si>
    <t>Actual hours</t>
  </si>
  <si>
    <t>Est material</t>
  </si>
  <si>
    <t>Actual material</t>
  </si>
  <si>
    <t>Est cost</t>
  </si>
  <si>
    <t>Actual cost</t>
  </si>
  <si>
    <t>Cost variance</t>
  </si>
  <si>
    <t>Margin</t>
  </si>
  <si>
    <t>Hours used</t>
  </si>
  <si>
    <t>Days late</t>
  </si>
  <si>
    <t>Lead time</t>
  </si>
  <si>
    <t>Status</t>
  </si>
  <si>
    <t>On time</t>
  </si>
  <si>
    <t>View ship</t>
  </si>
  <si>
    <t>View open</t>
  </si>
  <si>
    <t>Check</t>
  </si>
  <si>
    <t>Example data for Brennan Precision (fictional; prices, hours and rates are invented examples). Replace it with your own: select the example rows, right-click, Delete &gt; Table Rows. Status and days late are measured to the status date on Setup.</t>
  </si>
  <si>
    <t>h</t>
  </si>
  <si>
    <t>WO-2611</t>
  </si>
  <si>
    <t>TR-3157</t>
  </si>
  <si>
    <t>WO-2612</t>
  </si>
  <si>
    <t>HA-1741</t>
  </si>
  <si>
    <t>WO-2613</t>
  </si>
  <si>
    <t>DH-2157</t>
  </si>
  <si>
    <t>WO-2614</t>
  </si>
  <si>
    <t>PM-1572</t>
  </si>
  <si>
    <t>WO-2615</t>
  </si>
  <si>
    <t>MP-5574</t>
  </si>
  <si>
    <t>WO-2616</t>
  </si>
  <si>
    <t>HA-4372</t>
  </si>
  <si>
    <t>WO-2617</t>
  </si>
  <si>
    <t>PM-3740</t>
  </si>
  <si>
    <t>WO-2618</t>
  </si>
  <si>
    <t>PM-3471</t>
  </si>
  <si>
    <t>WO-2619</t>
  </si>
  <si>
    <t>MP-8172</t>
  </si>
  <si>
    <t>WO-2620</t>
  </si>
  <si>
    <t>DH-8712</t>
  </si>
  <si>
    <t>WO-2621</t>
  </si>
  <si>
    <t>DH-3737</t>
  </si>
  <si>
    <t>WO-2622</t>
  </si>
  <si>
    <t>CA-9765</t>
  </si>
  <si>
    <t>WO-2623</t>
  </si>
  <si>
    <t>TR-8933</t>
  </si>
  <si>
    <t>WO-2624</t>
  </si>
  <si>
    <t>CA-5890</t>
  </si>
  <si>
    <t>WO-2625</t>
  </si>
  <si>
    <t>MP-1978</t>
  </si>
  <si>
    <t>WO-2626</t>
  </si>
  <si>
    <t>MP-2597</t>
  </si>
  <si>
    <t>WO-2627</t>
  </si>
  <si>
    <t>PM-3914</t>
  </si>
  <si>
    <t>WO-2628</t>
  </si>
  <si>
    <t>PM-4889</t>
  </si>
  <si>
    <t>WO-2629</t>
  </si>
  <si>
    <t>TR-7277</t>
  </si>
  <si>
    <t>WO-2630</t>
  </si>
  <si>
    <t>DH-5791</t>
  </si>
  <si>
    <t>WO-2631</t>
  </si>
  <si>
    <t>MP-5572</t>
  </si>
  <si>
    <t>WO-2632</t>
  </si>
  <si>
    <t>DH-4273</t>
  </si>
  <si>
    <t>WO-2633</t>
  </si>
  <si>
    <t>HA-5968</t>
  </si>
  <si>
    <t>WO-2634</t>
  </si>
  <si>
    <t>DH-1290</t>
  </si>
  <si>
    <t>WO-2635</t>
  </si>
  <si>
    <t>CA-2611</t>
  </si>
  <si>
    <t>WO-2636</t>
  </si>
  <si>
    <t>DH-9872</t>
  </si>
  <si>
    <t>WO-2637</t>
  </si>
  <si>
    <t>MP-3430</t>
  </si>
  <si>
    <t>WO-2638</t>
  </si>
  <si>
    <t>PM-1682</t>
  </si>
  <si>
    <t>WO-2639</t>
  </si>
  <si>
    <t>MP-4856</t>
  </si>
  <si>
    <t>WO-2640</t>
  </si>
  <si>
    <t>TR-8622</t>
  </si>
  <si>
    <t>WO-2641</t>
  </si>
  <si>
    <t>TR-1744</t>
  </si>
  <si>
    <t>WO-2642</t>
  </si>
  <si>
    <t>DH-7263</t>
  </si>
  <si>
    <t>WO-2643</t>
  </si>
  <si>
    <t>MP-2904</t>
  </si>
  <si>
    <t>WO-2644</t>
  </si>
  <si>
    <t>HA-1660</t>
  </si>
  <si>
    <t>WO-2645</t>
  </si>
  <si>
    <t>TR-8044</t>
  </si>
  <si>
    <t>WO-2646</t>
  </si>
  <si>
    <t>HA-9445</t>
  </si>
  <si>
    <t>WO-2647</t>
  </si>
  <si>
    <t>CA-2018</t>
  </si>
  <si>
    <t>WO-2648</t>
  </si>
  <si>
    <t>CA-7688</t>
  </si>
  <si>
    <t>WO-2649</t>
  </si>
  <si>
    <t>DH-7602</t>
  </si>
  <si>
    <t>WO-2650</t>
  </si>
  <si>
    <t>DH-3680</t>
  </si>
  <si>
    <t>WO-2651</t>
  </si>
  <si>
    <t>HA-7849</t>
  </si>
  <si>
    <t>WO-2652</t>
  </si>
  <si>
    <t>TR-4047</t>
  </si>
  <si>
    <t>WO-2653</t>
  </si>
  <si>
    <t>DH-3949</t>
  </si>
  <si>
    <t>WO-2654</t>
  </si>
  <si>
    <t>MP-9682</t>
  </si>
  <si>
    <t>WO-2655</t>
  </si>
  <si>
    <t>MP-5564</t>
  </si>
  <si>
    <t>WO-2656</t>
  </si>
  <si>
    <t>DH-2148</t>
  </si>
  <si>
    <t>WO-2657</t>
  </si>
  <si>
    <t>HA-3748</t>
  </si>
  <si>
    <t>WO-2658</t>
  </si>
  <si>
    <t>CA-6638</t>
  </si>
  <si>
    <t>WO-2659</t>
  </si>
  <si>
    <t>DH-4194</t>
  </si>
  <si>
    <t>WO-2660</t>
  </si>
  <si>
    <t>MP-1719</t>
  </si>
  <si>
    <t>WO-2661</t>
  </si>
  <si>
    <t>DH-1190</t>
  </si>
  <si>
    <t>WO-2662</t>
  </si>
  <si>
    <t>HA-8123</t>
  </si>
  <si>
    <t>WO-2663</t>
  </si>
  <si>
    <t>CA-5578</t>
  </si>
  <si>
    <t>WO-2664</t>
  </si>
  <si>
    <t>DH-7900</t>
  </si>
  <si>
    <t>WO-2665</t>
  </si>
  <si>
    <t>MP-5375</t>
  </si>
  <si>
    <t>WO-2666</t>
  </si>
  <si>
    <t>CA-9323</t>
  </si>
  <si>
    <t>WO-2667</t>
  </si>
  <si>
    <t>CA-5477</t>
  </si>
  <si>
    <t>WO-2668</t>
  </si>
  <si>
    <t>CA-1793</t>
  </si>
  <si>
    <t>WO-2669</t>
  </si>
  <si>
    <t>CA-9500</t>
  </si>
  <si>
    <t>WO-2670</t>
  </si>
  <si>
    <t>MP-1927</t>
  </si>
  <si>
    <t>WO-2671</t>
  </si>
  <si>
    <t>CA-7871</t>
  </si>
  <si>
    <t>WO-2672</t>
  </si>
  <si>
    <t>PM-4040</t>
  </si>
  <si>
    <t>WO-2673</t>
  </si>
  <si>
    <t>PM-1205</t>
  </si>
  <si>
    <t>WO-2674</t>
  </si>
  <si>
    <t>PM-7735</t>
  </si>
  <si>
    <t>WO-2675</t>
  </si>
  <si>
    <t>PM-4896</t>
  </si>
  <si>
    <t>WO-2676</t>
  </si>
  <si>
    <t>TR-2919</t>
  </si>
  <si>
    <t>WO-2677</t>
  </si>
  <si>
    <t>CA-8739</t>
  </si>
  <si>
    <t>WO-2678</t>
  </si>
  <si>
    <t>MP-8309</t>
  </si>
  <si>
    <t>WO-2679</t>
  </si>
  <si>
    <t>HA-9699</t>
  </si>
  <si>
    <t>WO-2680</t>
  </si>
  <si>
    <t>MP-5672</t>
  </si>
  <si>
    <t>WO-2681</t>
  </si>
  <si>
    <t>MP-5134</t>
  </si>
  <si>
    <t>WO-2682</t>
  </si>
  <si>
    <t>MP-4799</t>
  </si>
  <si>
    <t>Shipped from</t>
  </si>
  <si>
    <t>Shipped to</t>
  </si>
  <si>
    <t>ON-TIME DELIVERY</t>
  </si>
  <si>
    <t>OPEN WORK ORDERS</t>
  </si>
  <si>
    <t>OVERDUE WORK ORDERS</t>
  </si>
  <si>
    <t>Not shipped at the status date</t>
  </si>
  <si>
    <t>Open past their due date</t>
  </si>
  <si>
    <t>Order value of open work orders</t>
  </si>
  <si>
    <t>ACTUAL HOURS VS ESTIMATE</t>
  </si>
  <si>
    <t>MARGIN ACHIEVED</t>
  </si>
  <si>
    <t>AVERAGE LEAD TIME (DAYS)</t>
  </si>
  <si>
    <t>Actual - estimated cost; + is over</t>
  </si>
  <si>
    <t>Released to shipped, calendar days</t>
  </si>
  <si>
    <t>WORK ORDERS SHIPPED</t>
  </si>
  <si>
    <t>(Actual - est. hours) x estimating rate</t>
  </si>
  <si>
    <t>(Costing - estimating rate) x actual hours</t>
  </si>
  <si>
    <t>Actual - estimated material</t>
  </si>
  <si>
    <t>Shipped jobs in view</t>
  </si>
  <si>
    <t>By ship week (last 8 weeks with shipments in view)</t>
  </si>
  <si>
    <t>Week shipped (Mon)</t>
  </si>
  <si>
    <t>On-time delivery</t>
  </si>
  <si>
    <t>Target</t>
  </si>
  <si>
    <t>Value shipped</t>
  </si>
  <si>
    <t>Days late (sum)</t>
  </si>
  <si>
    <t>Open work orders by stage</t>
  </si>
  <si>
    <t>Overdue</t>
  </si>
  <si>
    <t>Due soon</t>
  </si>
  <si>
    <t>In progress</t>
  </si>
  <si>
    <t>Open</t>
  </si>
  <si>
    <t>Open value</t>
  </si>
  <si>
    <t>Hours booked</t>
  </si>
  <si>
    <t>By customer (shipped jobs in view; open jobs at the status date)</t>
  </si>
  <si>
    <t>Hours vs est.</t>
  </si>
  <si>
    <t>The Dashboard shows the 6 customers and 8 stages of the Setup lists. If you add more, extend the 'By customer' and 'By stage' blocks (see Method) or they will not appear here.</t>
  </si>
  <si>
    <t>What this workbook calculates</t>
  </si>
  <si>
    <t>Each work order is one row from release to shipment. Delivery is judged against the due date promised to the customer, and open jobs against a status date you type, so the file never changes by itself. Cost is estimated hours at the estimating rate plus estimated material, against actual hours at the costing rate plus actual material; the difference splits exactly into an hours, a rate and a material variance. Every Dashboard figure is a SUMIFS or COUNTIFS over the log, so ratios are formed from sums.</t>
  </si>
  <si>
    <t>Calculations</t>
  </si>
  <si>
    <t>Quantity</t>
  </si>
  <si>
    <t>How it is calculated</t>
  </si>
  <si>
    <t>Units</t>
  </si>
  <si>
    <t>Estimated cost</t>
  </si>
  <si>
    <t>Est hours x estimating rate + est material.
Excel: =[@[Est hours]]*EstRate+[@[Est material]]</t>
  </si>
  <si>
    <t>currency</t>
  </si>
  <si>
    <t>Actual hours x costing rate + actual material.</t>
  </si>
  <si>
    <t>Actual cost - estimated cost, for shipped jobs. Positive means the job cost more than estimated.</t>
  </si>
  <si>
    <t>Hours, rate and material variance</t>
  </si>
  <si>
    <t>(Actual - est hours) x estimating rate; (costing - estimating rate) x actual hours; actual - est material. They add up to the cost variance.</t>
  </si>
  <si>
    <t>(Order value - actual cost) / order value, for shipped jobs; over several jobs, from the sums.</t>
  </si>
  <si>
    <t>%</t>
  </si>
  <si>
    <t>Actual hours / estimated hours; on the Dashboard, actual / estimated hours of shipped jobs - 1.</t>
  </si>
  <si>
    <t>Ship date (status date while open) - due date, if positive.</t>
  </si>
  <si>
    <t>Ship date - release date, in calendar days.</t>
  </si>
  <si>
    <t>Complete when shipped; Overdue when open past its due date; Due soon when due within the window on Setup; otherwise In progress.</t>
  </si>
  <si>
    <t>-</t>
  </si>
  <si>
    <t>Shipped jobs with ship date on or before the due date / shipped jobs, inside the Dashboard filters.</t>
  </si>
  <si>
    <t>Open order value</t>
  </si>
  <si>
    <t>Order value of jobs not yet shipped, inside the customer filter.</t>
  </si>
  <si>
    <t>Weekly, by stage and by customer</t>
  </si>
  <si>
    <t>The same sums by ship week (Monday start), by the stage of open jobs, and by customer.</t>
  </si>
  <si>
    <t>Assumptions</t>
  </si>
  <si>
    <t>One row per work order shipped complete; for a partial shipment, split the order into two rows with their own quantities and hours.</t>
  </si>
  <si>
    <t>Actual hours are all hours booked to the job (setup and run, every operation), costed at one shop-wide costing rate.</t>
  </si>
  <si>
    <t>Outside processing and bought-in parts are included in material, estimated and actual.</t>
  </si>
  <si>
    <t>Due date is the date promised to the customer; a job shipped on its due date is on time.</t>
  </si>
  <si>
    <t>Limitations</t>
  </si>
  <si>
    <t>Open jobs show cost to date, so their variance and margin stay blank until they ship.</t>
  </si>
  <si>
    <t>One costing rate for all work centres: a job heavy on an expensive machine will look cheaper than it is. Use machine rates per operation for that.</t>
  </si>
  <si>
    <t>The Dashboard has fixed blocks for six customers, eight stages and eight weeks; longer lists need the blocks extended (a warning appears on the Dashboard).</t>
  </si>
  <si>
    <t>The Verify sheet tests the formulas as built; it cannot see later edits to them.</t>
  </si>
  <si>
    <t>Agreement with the live calculator</t>
  </si>
  <si>
    <t>For one shipped job, this workbook and the live Job Costing Variance calculator compute the same numbers: estimated and actual job cost, hours variance = (actual - estimated hours) x estimated rate, rate variance = (actual - estimated rate) x actual hours, material variance and their total. The calculator takes the two rates per job; this workbook uses the estimating and costing rates on Setup for every job. The reference implementation is checked against the calculator's engine for the calculator's own example (42 h estimated, 48.5 h actual, 95 and 98 per hour, material 1,850 and 2,010: total variance 923.00).</t>
  </si>
  <si>
    <t>Open the Job Costing Variance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</si>
  <si>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</si>
  <si>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</si>
  <si>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APICS (ASCM) Dictionary, 16th edition: on-time delivery, lead time and job costing terms.</t>
  </si>
  <si>
    <t>Horngren, C. T., Datar, S. M., Rajan, M. V., Cost Accounting: A Managerial Emphasis, Pearson (job costing and the split of a cost variance into efficiency, price and material parts).</t>
  </si>
  <si>
    <t>MFG Calcs Job Costing Variance calculator (job-costing-variance): the same split for one closed job.</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</si>
  <si>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</si>
  <si>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</si>
  <si>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</si>
  <si>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</si>
  <si>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</si>
  <si>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</si>
  <si>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</si>
  <si>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</si>
  <si>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</si>
  <si>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</si>
  <si>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</si>
  <si>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</si>
  <si>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</si>
  <si>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</si>
  <si>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</si>
  <si>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</si>
  <si>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WO 1 (calculator example): estimated cost</t>
  </si>
  <si>
    <t>WO 1 (calculator example): actual cost</t>
  </si>
  <si>
    <t>WO 1 (calculator example): cost variance</t>
  </si>
  <si>
    <t>WO 1: margin</t>
  </si>
  <si>
    <t>WO 1: days late</t>
  </si>
  <si>
    <t>WO 1: shipped late</t>
  </si>
  <si>
    <t>No</t>
  </si>
  <si>
    <t>exact</t>
  </si>
  <si>
    <t>WO 2: shipped on time</t>
  </si>
  <si>
    <t>Yes</t>
  </si>
  <si>
    <t>WO 2: lead time</t>
  </si>
  <si>
    <t>WO 3: status overdue</t>
  </si>
  <si>
    <t>WO 3: days late to the status date</t>
  </si>
  <si>
    <t>WO 4: status due soon</t>
  </si>
  <si>
    <t>WO 4: hours used</t>
  </si>
  <si>
    <t>WO 5: status in progress</t>
  </si>
  <si>
    <t>WO 6: Check names shipped before released</t>
  </si>
  <si>
    <t>Shipped before released</t>
  </si>
  <si>
    <t>On-time delivery (Dashboard formula)</t>
  </si>
  <si>
    <t>Overdue work orders (Dashboard formula)</t>
  </si>
  <si>
    <t>Cost variance of shipped jobs (Dashboard formula)</t>
  </si>
  <si>
    <t>Hours + rate + material variance = cost variance</t>
  </si>
  <si>
    <t>Margin achieved (Dashboard formula)</t>
  </si>
  <si>
    <t>Fixed test inputs</t>
  </si>
  <si>
    <t>White cells are fixed test inputs; blue cells are the workbook's formulas evaluated on them.</t>
  </si>
  <si>
    <t>Parameters</t>
  </si>
  <si>
    <t>Filter: shipped from (0 = no limit)</t>
  </si>
  <si>
    <t>Filter: shipped to (2958465 = no limit)</t>
  </si>
  <si>
    <t>Filter: customer (blank = all)</t>
  </si>
  <si>
    <t/>
  </si>
  <si>
    <t>Due soon window (days)</t>
  </si>
  <si>
    <t>Test table: Customers</t>
  </si>
  <si>
    <t>C1</t>
  </si>
  <si>
    <t>C2</t>
  </si>
  <si>
    <t>Test table: Orders</t>
  </si>
  <si>
    <t>T-1</t>
  </si>
  <si>
    <t>P</t>
  </si>
  <si>
    <t>T-2</t>
  </si>
  <si>
    <t>T-3</t>
  </si>
  <si>
    <t>T-4</t>
  </si>
  <si>
    <t>T-5</t>
  </si>
  <si>
    <t>T-6</t>
  </si>
</sst>
</file>

<file path=xl/styles.xml><?xml version="1.0" encoding="utf-8"?>
<styleSheet xmlns="http://schemas.openxmlformats.org/spreadsheetml/2006/main">
  <numFmts count="11">
    <numFmt numFmtId="164" formatCode="#,##0.00"/>
    <numFmt numFmtId="165" formatCode="d mmm yyyy"/>
    <numFmt numFmtId="166" formatCode="#,##0"/>
    <numFmt numFmtId="167" formatCode="0.0%"/>
    <numFmt numFmtId="168" formatCode="#,##0.0"/>
    <numFmt numFmtId="169" formatCode="0%"/>
    <numFmt numFmtId="170" formatCode="&quot;Target &quot;0.0%"/>
    <numFmt numFmtId="171" formatCode="+0.0%;-0.0%;0.0%"/>
    <numFmt numFmtId="172" formatCode="&quot;Limit &quot;+0.0%;&quot;Limit &quot;-0.0%;&quot;Limit &quot;0.0%"/>
    <numFmt numFmtId="173" formatCode="d mmm"/>
    <numFmt numFmtId="174"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8"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0" fontId="21" fillId="4" borderId="3" xfId="0" applyFont="1" applyFill="1" applyBorder="1" applyAlignment="1">
      <alignment vertical="center"/>
    </xf>
    <xf numFmtId="165"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171"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72" fontId="23"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173" fontId="9" fillId="0" borderId="9" xfId="0" applyNumberFormat="1" applyFont="1" applyBorder="1" applyAlignment="1">
      <alignment vertical="center"/>
    </xf>
    <xf numFmtId="167" fontId="10" fillId="0" borderId="9" xfId="0" applyNumberFormat="1" applyFont="1" applyBorder="1" applyAlignment="1">
      <alignment vertical="center"/>
    </xf>
    <xf numFmtId="168" fontId="10" fillId="4" borderId="3" xfId="0" applyNumberFormat="1" applyFont="1" applyFill="1" applyBorder="1" applyAlignment="1">
      <alignment vertical="center"/>
    </xf>
    <xf numFmtId="0" fontId="9" fillId="0" borderId="9" xfId="0" applyFont="1" applyBorder="1" applyAlignment="1">
      <alignment vertical="center"/>
    </xf>
    <xf numFmtId="171"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64" fontId="10" fillId="4" borderId="3" xfId="0" applyNumberFormat="1" applyFont="1" applyFill="1" applyBorder="1" applyAlignment="1">
      <alignment vertical="center"/>
    </xf>
    <xf numFmtId="174" fontId="10" fillId="4" borderId="3" xfId="0" applyNumberFormat="1" applyFont="1" applyFill="1" applyBorder="1" applyAlignment="1">
      <alignment vertical="center"/>
    </xf>
    <xf numFmtId="174" fontId="10" fillId="0" borderId="9" xfId="0" applyNumberFormat="1" applyFont="1" applyBorder="1" applyAlignment="1">
      <alignment vertical="center"/>
    </xf>
    <xf numFmtId="166" fontId="10" fillId="0" borderId="9" xfId="0" applyNumberFormat="1" applyFont="1" applyBorder="1" applyAlignment="1">
      <alignment vertical="center"/>
    </xf>
    <xf numFmtId="0" fontId="10" fillId="4" borderId="3" xfId="0" applyFont="1" applyFill="1" applyBorder="1" applyAlignment="1">
      <alignment vertical="center"/>
    </xf>
    <xf numFmtId="165"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On-time delivery by ship week</a:t>
            </a:r>
          </a:p>
        </c:rich>
      </c:tx>
      <c:layout/>
    </c:title>
    <c:plotArea>
      <c:layout/>
      <c:barChart>
        <c:barDir val="col"/>
        <c:grouping val="clustered"/>
        <c:ser>
          <c:idx val="0"/>
          <c:order val="0"/>
          <c:tx>
            <c:v>On-time delivery</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Dashboard!$B$61:$B$68</c:f>
              <c:numCache>
                <c:formatCode>General</c:formatCode>
                <c:ptCount val="8"/>
                <c:pt idx="0">
                  <c:v>46251</c:v>
                </c:pt>
                <c:pt idx="1">
                  <c:v>46258</c:v>
                </c:pt>
                <c:pt idx="2">
                  <c:v>46265</c:v>
                </c:pt>
                <c:pt idx="3">
                  <c:v>46272</c:v>
                </c:pt>
                <c:pt idx="4">
                  <c:v>46279</c:v>
                </c:pt>
                <c:pt idx="5">
                  <c:v>46286</c:v>
                </c:pt>
                <c:pt idx="6">
                  <c:v>46293</c:v>
                </c:pt>
                <c:pt idx="7">
                  <c:v>46300</c:v>
                </c:pt>
              </c:numCache>
            </c:numRef>
          </c:cat>
          <c:val>
            <c:numRef>
              <c:f>Dashboard!$E$61:$E$68</c:f>
              <c:numCache>
                <c:formatCode>General</c:formatCode>
                <c:ptCount val="8"/>
                <c:pt idx="0">
                  <c:v>0.833333333333333</c:v>
                </c:pt>
                <c:pt idx="1">
                  <c:v>1</c:v>
                </c:pt>
                <c:pt idx="2">
                  <c:v>0.714285714285714</c:v>
                </c:pt>
                <c:pt idx="3">
                  <c:v>1</c:v>
                </c:pt>
                <c:pt idx="4">
                  <c:v>1</c:v>
                </c:pt>
                <c:pt idx="5">
                  <c:v>0.25</c:v>
                </c:pt>
                <c:pt idx="6">
                  <c:v>0.75</c:v>
                </c:pt>
                <c:pt idx="7">
                  <c:v>1</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Dashboard!$B$61:$B$68</c:f>
              <c:numCache>
                <c:formatCode>General</c:formatCode>
                <c:ptCount val="8"/>
                <c:pt idx="0">
                  <c:v>46251</c:v>
                </c:pt>
                <c:pt idx="1">
                  <c:v>46258</c:v>
                </c:pt>
                <c:pt idx="2">
                  <c:v>46265</c:v>
                </c:pt>
                <c:pt idx="3">
                  <c:v>46272</c:v>
                </c:pt>
                <c:pt idx="4">
                  <c:v>46279</c:v>
                </c:pt>
                <c:pt idx="5">
                  <c:v>46286</c:v>
                </c:pt>
                <c:pt idx="6">
                  <c:v>46293</c:v>
                </c:pt>
                <c:pt idx="7">
                  <c:v>46300</c:v>
                </c:pt>
              </c:numCache>
            </c:numRef>
          </c:cat>
          <c:val>
            <c:numRef>
              <c:f>Dashboard!$F$61:$F$68</c:f>
              <c:numCache>
                <c:formatCode>General</c:formatCode>
                <c:ptCount val="8"/>
                <c:pt idx="0">
                  <c:v>0.95</c:v>
                </c:pt>
                <c:pt idx="1">
                  <c:v>0.95</c:v>
                </c:pt>
                <c:pt idx="2">
                  <c:v>0.95</c:v>
                </c:pt>
                <c:pt idx="3">
                  <c:v>0.95</c:v>
                </c:pt>
                <c:pt idx="4">
                  <c:v>0.95</c:v>
                </c:pt>
                <c:pt idx="5">
                  <c:v>0.95</c:v>
                </c:pt>
                <c:pt idx="6">
                  <c:v>0.95</c:v>
                </c:pt>
                <c:pt idx="7">
                  <c:v>0.95</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Open work orders by stage</a:t>
            </a:r>
          </a:p>
        </c:rich>
      </c:tx>
      <c:layout/>
    </c:title>
    <c:plotArea>
      <c:layout/>
      <c:barChart>
        <c:barDir val="bar"/>
        <c:grouping val="stacked"/>
        <c:ser>
          <c:idx val="0"/>
          <c:order val="0"/>
          <c:tx>
            <c:v>Overdue</c:v>
          </c:tx>
          <c:spPr>
            <a:solidFill>
              <a:srgbClr val="3B64D8"/>
            </a:solidFill>
            <a:ln w="9525">
              <a:solidFill>
                <a:srgbClr val="FFFFFF"/>
              </a:solidFill>
            </a:ln>
          </c:spPr>
          <c:cat>
            <c:strRef>
              <c:f>Dashboard!$B$73:$B$80</c:f>
              <c:strCache>
                <c:ptCount val="8"/>
                <c:pt idx="0">
                  <c:v>Released</c:v>
                </c:pt>
                <c:pt idx="1">
                  <c:v>Material</c:v>
                </c:pt>
                <c:pt idx="2">
                  <c:v>Machining</c:v>
                </c:pt>
                <c:pt idx="3">
                  <c:v>Fabrication</c:v>
                </c:pt>
                <c:pt idx="4">
                  <c:v>Finishing</c:v>
                </c:pt>
                <c:pt idx="5">
                  <c:v>Outside processing</c:v>
                </c:pt>
                <c:pt idx="6">
                  <c:v>Inspection</c:v>
                </c:pt>
                <c:pt idx="7">
                  <c:v>Ready to ship</c:v>
                </c:pt>
              </c:strCache>
            </c:strRef>
          </c:cat>
          <c:val>
            <c:numRef>
              <c:f>Dashboard!$C$73:$C$80</c:f>
              <c:numCache>
                <c:formatCode>General</c:formatCode>
                <c:ptCount val="8"/>
                <c:pt idx="0">
                  <c:v>0</c:v>
                </c:pt>
                <c:pt idx="1">
                  <c:v>0</c:v>
                </c:pt>
                <c:pt idx="2">
                  <c:v>0</c:v>
                </c:pt>
                <c:pt idx="3">
                  <c:v>1</c:v>
                </c:pt>
                <c:pt idx="4">
                  <c:v>0</c:v>
                </c:pt>
                <c:pt idx="5">
                  <c:v>1</c:v>
                </c:pt>
                <c:pt idx="6">
                  <c:v>1</c:v>
                </c:pt>
                <c:pt idx="7">
                  <c:v>0</c:v>
                </c:pt>
              </c:numCache>
            </c:numRef>
          </c:val>
        </c:ser>
        <c:ser>
          <c:idx val="1"/>
          <c:order val="1"/>
          <c:tx>
            <c:v>Due soon</c:v>
          </c:tx>
          <c:spPr>
            <a:solidFill>
              <a:srgbClr val="E8702A"/>
            </a:solidFill>
            <a:ln w="9525">
              <a:solidFill>
                <a:srgbClr val="FFFFFF"/>
              </a:solidFill>
            </a:ln>
          </c:spPr>
          <c:cat>
            <c:strRef>
              <c:f>Dashboard!$B$73:$B$80</c:f>
              <c:strCache>
                <c:ptCount val="8"/>
                <c:pt idx="0">
                  <c:v>Released</c:v>
                </c:pt>
                <c:pt idx="1">
                  <c:v>Material</c:v>
                </c:pt>
                <c:pt idx="2">
                  <c:v>Machining</c:v>
                </c:pt>
                <c:pt idx="3">
                  <c:v>Fabrication</c:v>
                </c:pt>
                <c:pt idx="4">
                  <c:v>Finishing</c:v>
                </c:pt>
                <c:pt idx="5">
                  <c:v>Outside processing</c:v>
                </c:pt>
                <c:pt idx="6">
                  <c:v>Inspection</c:v>
                </c:pt>
                <c:pt idx="7">
                  <c:v>Ready to ship</c:v>
                </c:pt>
              </c:strCache>
            </c:strRef>
          </c:cat>
          <c:val>
            <c:numRef>
              <c:f>Dashboard!$D$73:$D$80</c:f>
              <c:numCache>
                <c:formatCode>General</c:formatCode>
                <c:ptCount val="8"/>
                <c:pt idx="0">
                  <c:v>0</c:v>
                </c:pt>
                <c:pt idx="1">
                  <c:v>0</c:v>
                </c:pt>
                <c:pt idx="2">
                  <c:v>0</c:v>
                </c:pt>
                <c:pt idx="3">
                  <c:v>0</c:v>
                </c:pt>
                <c:pt idx="4">
                  <c:v>2</c:v>
                </c:pt>
                <c:pt idx="5">
                  <c:v>1</c:v>
                </c:pt>
                <c:pt idx="6">
                  <c:v>4</c:v>
                </c:pt>
                <c:pt idx="7">
                  <c:v>2</c:v>
                </c:pt>
              </c:numCache>
            </c:numRef>
          </c:val>
        </c:ser>
        <c:ser>
          <c:idx val="2"/>
          <c:order val="2"/>
          <c:tx>
            <c:v>In progress</c:v>
          </c:tx>
          <c:spPr>
            <a:solidFill>
              <a:srgbClr val="1BA37A"/>
            </a:solidFill>
            <a:ln w="9525">
              <a:solidFill>
                <a:srgbClr val="FFFFFF"/>
              </a:solidFill>
            </a:ln>
          </c:spPr>
          <c:cat>
            <c:strRef>
              <c:f>Dashboard!$B$73:$B$80</c:f>
              <c:strCache>
                <c:ptCount val="8"/>
                <c:pt idx="0">
                  <c:v>Released</c:v>
                </c:pt>
                <c:pt idx="1">
                  <c:v>Material</c:v>
                </c:pt>
                <c:pt idx="2">
                  <c:v>Machining</c:v>
                </c:pt>
                <c:pt idx="3">
                  <c:v>Fabrication</c:v>
                </c:pt>
                <c:pt idx="4">
                  <c:v>Finishing</c:v>
                </c:pt>
                <c:pt idx="5">
                  <c:v>Outside processing</c:v>
                </c:pt>
                <c:pt idx="6">
                  <c:v>Inspection</c:v>
                </c:pt>
                <c:pt idx="7">
                  <c:v>Ready to ship</c:v>
                </c:pt>
              </c:strCache>
            </c:strRef>
          </c:cat>
          <c:val>
            <c:numRef>
              <c:f>Dashboard!$E$73:$E$80</c:f>
              <c:numCache>
                <c:formatCode>General</c:formatCode>
                <c:ptCount val="8"/>
                <c:pt idx="0">
                  <c:v>0</c:v>
                </c:pt>
                <c:pt idx="1">
                  <c:v>1</c:v>
                </c:pt>
                <c:pt idx="2">
                  <c:v>0</c:v>
                </c:pt>
                <c:pt idx="3">
                  <c:v>0</c:v>
                </c:pt>
                <c:pt idx="4">
                  <c:v>3</c:v>
                </c:pt>
                <c:pt idx="5">
                  <c:v>0</c:v>
                </c:pt>
                <c:pt idx="6">
                  <c:v>1</c:v>
                </c:pt>
                <c:pt idx="7">
                  <c:v>0</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Estimated vs actual hours by customer (shipped)</a:t>
            </a:r>
          </a:p>
        </c:rich>
      </c:tx>
      <c:layout/>
    </c:title>
    <c:plotArea>
      <c:layout/>
      <c:barChart>
        <c:barDir val="col"/>
        <c:grouping val="clustered"/>
        <c:ser>
          <c:idx val="0"/>
          <c:order val="0"/>
          <c:tx>
            <c:v>Estimated</c:v>
          </c:tx>
          <c:spPr>
            <a:solidFill>
              <a:srgbClr val="3B64D8"/>
            </a:solidFill>
            <a:ln w="9525">
              <a:solidFill>
                <a:srgbClr val="FFFFFF"/>
              </a:solidFill>
            </a:ln>
          </c:spPr>
          <c:cat>
            <c:strRef>
              <c:f>Dashboard!$B$85:$B$90</c:f>
              <c:strCache>
                <c:ptCount val="6"/>
                <c:pt idx="0">
                  <c:v>Corvane Aero</c:v>
                </c:pt>
                <c:pt idx="1">
                  <c:v>Delta Hydraulics</c:v>
                </c:pt>
                <c:pt idx="2">
                  <c:v>Hollis Agri</c:v>
                </c:pt>
                <c:pt idx="3">
                  <c:v>Marlow Packaging</c:v>
                </c:pt>
                <c:pt idx="4">
                  <c:v>Pinecrest Medical</c:v>
                </c:pt>
                <c:pt idx="5">
                  <c:v>Trent Robotics</c:v>
                </c:pt>
              </c:strCache>
            </c:strRef>
          </c:cat>
          <c:val>
            <c:numRef>
              <c:f>Dashboard!$E$85:$E$90</c:f>
              <c:numCache>
                <c:formatCode>General</c:formatCode>
                <c:ptCount val="6"/>
                <c:pt idx="0">
                  <c:v>260</c:v>
                </c:pt>
                <c:pt idx="1">
                  <c:v>231</c:v>
                </c:pt>
                <c:pt idx="2">
                  <c:v>163.5</c:v>
                </c:pt>
                <c:pt idx="3">
                  <c:v>114.5</c:v>
                </c:pt>
                <c:pt idx="4">
                  <c:v>107</c:v>
                </c:pt>
                <c:pt idx="5">
                  <c:v>110.5</c:v>
                </c:pt>
              </c:numCache>
            </c:numRef>
          </c:val>
        </c:ser>
        <c:ser>
          <c:idx val="1"/>
          <c:order val="1"/>
          <c:tx>
            <c:v>Actual</c:v>
          </c:tx>
          <c:spPr>
            <a:solidFill>
              <a:srgbClr val="E8702A"/>
            </a:solidFill>
            <a:ln w="9525">
              <a:solidFill>
                <a:srgbClr val="FFFFFF"/>
              </a:solidFill>
            </a:ln>
          </c:spPr>
          <c:cat>
            <c:strRef>
              <c:f>Dashboard!$B$85:$B$90</c:f>
              <c:strCache>
                <c:ptCount val="6"/>
                <c:pt idx="0">
                  <c:v>Corvane Aero</c:v>
                </c:pt>
                <c:pt idx="1">
                  <c:v>Delta Hydraulics</c:v>
                </c:pt>
                <c:pt idx="2">
                  <c:v>Hollis Agri</c:v>
                </c:pt>
                <c:pt idx="3">
                  <c:v>Marlow Packaging</c:v>
                </c:pt>
                <c:pt idx="4">
                  <c:v>Pinecrest Medical</c:v>
                </c:pt>
                <c:pt idx="5">
                  <c:v>Trent Robotics</c:v>
                </c:pt>
              </c:strCache>
            </c:strRef>
          </c:cat>
          <c:val>
            <c:numRef>
              <c:f>Dashboard!$F$85:$F$90</c:f>
              <c:numCache>
                <c:formatCode>General</c:formatCode>
                <c:ptCount val="6"/>
                <c:pt idx="0">
                  <c:v>292</c:v>
                </c:pt>
                <c:pt idx="1">
                  <c:v>224.75</c:v>
                </c:pt>
                <c:pt idx="2">
                  <c:v>179.75</c:v>
                </c:pt>
                <c:pt idx="3">
                  <c:v>121.75</c:v>
                </c:pt>
                <c:pt idx="4">
                  <c:v>115.75</c:v>
                </c:pt>
                <c:pt idx="5">
                  <c:v>130.25</c:v>
                </c:pt>
              </c:numCache>
            </c:numRef>
          </c:val>
        </c:ser>
        <c:gapWidth val="60"/>
        <c:overlap val="-10"/>
        <c:axId val="50030001"/>
        <c:axId val="50030002"/>
      </c:bar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Margin achieved by customer</a:t>
            </a:r>
          </a:p>
        </c:rich>
      </c:tx>
      <c:layout/>
    </c:title>
    <c:plotArea>
      <c:layout/>
      <c:barChart>
        <c:barDir val="col"/>
        <c:grouping val="clustered"/>
        <c:ser>
          <c:idx val="0"/>
          <c:order val="0"/>
          <c:tx>
            <c:v>Margin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Dashboard!$B$85:$B$90</c:f>
              <c:strCache>
                <c:ptCount val="6"/>
                <c:pt idx="0">
                  <c:v>Corvane Aero</c:v>
                </c:pt>
                <c:pt idx="1">
                  <c:v>Delta Hydraulics</c:v>
                </c:pt>
                <c:pt idx="2">
                  <c:v>Hollis Agri</c:v>
                </c:pt>
                <c:pt idx="3">
                  <c:v>Marlow Packaging</c:v>
                </c:pt>
                <c:pt idx="4">
                  <c:v>Pinecrest Medical</c:v>
                </c:pt>
                <c:pt idx="5">
                  <c:v>Trent Robotics</c:v>
                </c:pt>
              </c:strCache>
            </c:strRef>
          </c:cat>
          <c:val>
            <c:numRef>
              <c:f>Dashboard!$H$85:$H$90</c:f>
              <c:numCache>
                <c:formatCode>General</c:formatCode>
                <c:ptCount val="6"/>
                <c:pt idx="0">
                  <c:v>0.219693034238489</c:v>
                </c:pt>
                <c:pt idx="1">
                  <c:v>0.296345278725825</c:v>
                </c:pt>
                <c:pt idx="2">
                  <c:v>0.25132183908046</c:v>
                </c:pt>
                <c:pt idx="3">
                  <c:v>0.233617146212566</c:v>
                </c:pt>
                <c:pt idx="4">
                  <c:v>0.232136391068196</c:v>
                </c:pt>
                <c:pt idx="5">
                  <c:v>0.169455943228859</c:v>
                </c:pt>
              </c:numCache>
            </c:numRef>
          </c:val>
        </c:ser>
        <c:gapWidth val="60"/>
        <c:overlap val="-10"/>
        <c:axId val="50040001"/>
        <c:axId val="50040002"/>
      </c:barChart>
      <c:lineChart>
        <c:grouping val="standard"/>
        <c:ser>
          <c:idx val="1"/>
          <c:order val="1"/>
          <c:tx>
            <c:v>Target</c:v>
          </c:tx>
          <c:spPr>
            <a:ln w="19050">
              <a:solidFill>
                <a:srgbClr val="4A5361"/>
              </a:solidFill>
              <a:prstDash val="dash"/>
            </a:ln>
          </c:spPr>
          <c:marker>
            <c:symbol val="none"/>
          </c:marker>
          <c:cat>
            <c:strRef>
              <c:f>Dashboard!$B$85:$B$90</c:f>
              <c:strCache>
                <c:ptCount val="6"/>
                <c:pt idx="0">
                  <c:v>Corvane Aero</c:v>
                </c:pt>
                <c:pt idx="1">
                  <c:v>Delta Hydraulics</c:v>
                </c:pt>
                <c:pt idx="2">
                  <c:v>Hollis Agri</c:v>
                </c:pt>
                <c:pt idx="3">
                  <c:v>Marlow Packaging</c:v>
                </c:pt>
                <c:pt idx="4">
                  <c:v>Pinecrest Medical</c:v>
                </c:pt>
                <c:pt idx="5">
                  <c:v>Trent Robotics</c:v>
                </c:pt>
              </c:strCache>
            </c:strRef>
          </c:cat>
          <c:val>
            <c:numRef>
              <c:f>Dashboard!$I$85:$I$90</c:f>
              <c:numCache>
                <c:formatCode>General</c:formatCode>
                <c:ptCount val="6"/>
                <c:pt idx="0">
                  <c:v>0.25</c:v>
                </c:pt>
                <c:pt idx="1">
                  <c:v>0.25</c:v>
                </c:pt>
                <c:pt idx="2">
                  <c:v>0.25</c:v>
                </c:pt>
                <c:pt idx="3">
                  <c:v>0.25</c:v>
                </c:pt>
                <c:pt idx="4">
                  <c:v>0.25</c:v>
                </c:pt>
                <c:pt idx="5">
                  <c:v>0.25</c:v>
                </c:pt>
              </c:numCache>
            </c:numRef>
          </c:val>
        </c:ser>
        <c:marker val="1"/>
        <c:axId val="50040001"/>
        <c:axId val="50040002"/>
      </c:line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share of work orders shipped on or before their due date in each of the last eight ship weeks in view, with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bar chart of the open work orders at each stage, split into overdue, due soon and in progress at the status dat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41</xdr:row>
      <xdr:rowOff>38100</xdr:rowOff>
    </xdr:from>
    <xdr:to>
      <xdr:col>5</xdr:col>
      <xdr:colOff>676275</xdr:colOff>
      <xdr:row>55</xdr:row>
      <xdr:rowOff>152400</xdr:rowOff>
    </xdr:to>
    <xdr:graphicFrame macro="">
      <xdr:nvGraphicFramePr>
        <xdr:cNvPr id="4" name="Chart 3" descr="Clustered column chart of estimated and actual hours of the shipped work orders in view for each custome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41</xdr:row>
      <xdr:rowOff>38100</xdr:rowOff>
    </xdr:from>
    <xdr:to>
      <xdr:col>11</xdr:col>
      <xdr:colOff>676275</xdr:colOff>
      <xdr:row>55</xdr:row>
      <xdr:rowOff>152400</xdr:rowOff>
    </xdr:to>
    <xdr:graphicFrame macro="">
      <xdr:nvGraphicFramePr>
        <xdr:cNvPr id="5" name="Chart 4" descr="Column chart of the margin achieved on shipped work orders for each customer, with the margin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Customers" displayName="tblCustomers" ref="B21:D27" totalsRowShown="0">
  <autoFilter ref="B21:D27"/>
  <tableColumns count="3">
    <tableColumn id="1" name="Customer"/>
    <tableColumn id="2" name="Contact"/>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Stages" displayName="tblStages" ref="B31:C39" totalsRowShown="0">
  <autoFilter ref="B31:C39"/>
  <tableColumns count="2">
    <tableColumn id="1" name="Stage"/>
    <tableColumn id="2" name="Meaning"/>
  </tableColumns>
  <tableStyleInfo name="TableStyleLight1" showFirstColumn="0" showLastColumn="0" showRowStripes="0" showColumnStripes="0"/>
</table>
</file>

<file path=xl/tables/table3.xml><?xml version="1.0" encoding="utf-8"?>
<table xmlns="http://schemas.openxmlformats.org/spreadsheetml/2006/main" id="3" name="tblOrders" displayName="tblOrders" ref="B6:Z78" totalsRowShown="0">
  <autoFilter ref="B6:Z78"/>
  <tableColumns count="25">
    <tableColumn id="1" name="WO No."/>
    <tableColumn id="2" name="Customer"/>
    <tableColumn id="3" name="Part no."/>
    <tableColumn id="4" name="Qty"/>
    <tableColumn id="5" name="Released"/>
    <tableColumn id="6" name="Due"/>
    <tableColumn id="7" name="Shipped"/>
    <tableColumn id="8" name="Stage"/>
    <tableColumn id="9" name="Order value"/>
    <tableColumn id="10" name="Est hours"/>
    <tableColumn id="11" name="Actual hours"/>
    <tableColumn id="12" name="Est material"/>
    <tableColumn id="13" name="Actual material"/>
    <tableColumn id="14" name="Est cost">
      <calculatedColumnFormula>IF(tblOrders[[#This Row],[Released]]="","",tblOrders[[#This Row],[Est hours]]*EstRate+tblOrders[[#This Row],[Est material]])</calculatedColumnFormula>
    </tableColumn>
    <tableColumn id="15" name="Actual cost">
      <calculatedColumnFormula>IF(tblOrders[[#This Row],[Released]]="","",tblOrders[[#This Row],[Actual hours]]*CostRate+tblOrders[[#This Row],[Actual material]])</calculatedColumnFormula>
    </tableColumn>
    <tableColumn id="16" name="Cost variance">
      <calculatedColumnFormula>IF(tblOrders[[#This Row],[Released]]="","",IF(tblOrders[[#This Row],[Shipped]]="","",tblOrders[[#This Row],[Actual cost]]-tblOrders[[#This Row],[Est cost]]))</calculatedColumnFormula>
    </tableColumn>
    <tableColumn id="17" name="Margin">
      <calculatedColumnFormula>IF(tblOrders[[#This Row],[Released]]="","",IF(OR(tblOrders[[#This Row],[Shipped]]="",tblOrders[[#This Row],[Order value]]&lt;=0),"",(tblOrders[[#This Row],[Order value]]-tblOrders[[#This Row],[Actual cost]])/tblOrders[[#This Row],[Order value]]))</calculatedColumnFormula>
    </tableColumn>
    <tableColumn id="18" name="Hours used">
      <calculatedColumnFormula>IF(tblOrders[[#This Row],[Released]]="","",IF(tblOrders[[#This Row],[Est hours]]&gt;0,tblOrders[[#This Row],[Actual hours]]/tblOrders[[#This Row],[Est hours]],""))</calculatedColumnFormula>
    </tableColumn>
    <tableColumn id="19" name="Days late">
      <calculatedColumnFormula>IF(tblOrders[[#This Row],[Released]]="","",MAX(0,IF(tblOrders[[#This Row],[Shipped]]="",AsOf,tblOrders[[#This Row],[Shipped]])-tblOrders[[#This Row],[Due]]))</calculatedColumnFormula>
    </tableColumn>
    <tableColumn id="20" name="Lead time">
      <calculatedColumnFormula>IF(tblOrders[[#This Row],[Released]]="","",IF(tblOrders[[#This Row],[Shipped]]="","",tblOrders[[#This Row],[Shipped]]-tblOrders[[#This Row],[Released]]))</calculatedColumnFormula>
    </tableColumn>
    <tableColumn id="21" name="Status">
      <calculatedColumnFormula>IF(tblOrders[[#This Row],[Released]]="","",IF(tblOrders[[#This Row],[Shipped]]&lt;&gt;"","Complete",IF(tblOrders[[#This Row],[Due]]="","",IF(tblOrders[[#This Row],[Due]]&lt;AsOf,"Overdue",IF(tblOrders[[#This Row],[Due]]-AsOf&lt;=DueSoonDays,"Due soon","In progress")))))</calculatedColumnFormula>
    </tableColumn>
    <tableColumn id="22" name="On time">
      <calculatedColumnFormula>IF(tblOrders[[#This Row],[Released]]="","",IF(OR(tblOrders[[#This Row],[Shipped]]="",tblOrders[[#This Row],[Due]]=""),"",IF(tblOrders[[#This Row],[Shipped]]&lt;=tblOrders[[#This Row],[Due]],"Yes","No")))</calculatedColumnFormula>
    </tableColumn>
    <tableColumn id="23" name="View ship">
      <calculatedColumnFormula>IF(tblOrders[[#This Row],[Released]]="","",IF(AND(tblOrders[[#This Row],[Shipped]]&lt;&gt;"",tblOrders[[#This Row],[Shipped]]&gt;=FFrom,tblOrders[[#This Row],[Shipped]]&lt;=FTo,OR(DashCustomer="",tblOrders[[#This Row],[Customer]]=DashCustomer)),tblOrders[[#This Row],[Shipped]],""))</calculatedColumnFormula>
    </tableColumn>
    <tableColumn id="24" name="View open">
      <calculatedColumnFormula>IF(tblOrders[[#This Row],[Released]]="","",IF(AND(tblOrders[[#This Row],[Shipped]]="",OR(DashCustomer="",tblOrders[[#This Row],[Customer]]=DashCustomer)),tblOrders[[#This Row],[Released]],""))</calculatedColumnFormula>
    </tableColumn>
    <tableColumn id="25" name="Check">
      <calculatedColumnFormula>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Customers" displayName="tblVerifyCustomers" ref="B45:D47" totalsRowShown="0">
  <tableColumns count="3">
    <tableColumn id="1" name="Customer"/>
    <tableColumn id="2" name="Contact"/>
    <tableColumn id="3" name="Notes"/>
  </tableColumns>
  <tableStyleInfo name="TableStyleLight1" showFirstColumn="0" showLastColumn="0" showRowStripes="0" showColumnStripes="0"/>
</table>
</file>

<file path=xl/tables/table5.xml><?xml version="1.0" encoding="utf-8"?>
<table xmlns="http://schemas.openxmlformats.org/spreadsheetml/2006/main" id="5" name="tblVerifyOrders" displayName="tblVerifyOrders" ref="B51:Z57" totalsRowShown="0">
  <tableColumns count="25">
    <tableColumn id="1" name="WO No."/>
    <tableColumn id="2" name="Customer"/>
    <tableColumn id="3" name="Part no."/>
    <tableColumn id="4" name="Qty"/>
    <tableColumn id="5" name="Released"/>
    <tableColumn id="6" name="Due"/>
    <tableColumn id="7" name="Shipped"/>
    <tableColumn id="8" name="Stage"/>
    <tableColumn id="9" name="Order value"/>
    <tableColumn id="10" name="Est hours"/>
    <tableColumn id="11" name="Actual hours"/>
    <tableColumn id="12" name="Est material"/>
    <tableColumn id="13" name="Actual material"/>
    <tableColumn id="14" name="Est cost">
      <calculatedColumnFormula>IF(tblVerifyOrders[[#This Row],[Released]]="","",tblVerifyOrders[[#This Row],[Est hours]]*$E$38+tblVerifyOrders[[#This Row],[Est material]])</calculatedColumnFormula>
    </tableColumn>
    <tableColumn id="15" name="Actual cost">
      <calculatedColumnFormula>IF(tblVerifyOrders[[#This Row],[Released]]="","",tblVerifyOrders[[#This Row],[Actual hours]]*$E$39+tblVerifyOrders[[#This Row],[Actual material]])</calculatedColumnFormula>
    </tableColumn>
    <tableColumn id="16" name="Cost variance">
      <calculatedColumnFormula>IF(tblVerifyOrders[[#This Row],[Released]]="","",IF(tblVerifyOrders[[#This Row],[Shipped]]="","",tblVerifyOrders[[#This Row],[Actual cost]]-tblVerifyOrders[[#This Row],[Est cost]]))</calculatedColumnFormula>
    </tableColumn>
    <tableColumn id="17" name="Margin">
      <calculatedColumnFormula>IF(tblVerifyOrders[[#This Row],[Released]]="","",IF(OR(tblVerifyOrders[[#This Row],[Shipped]]="",tblVerifyOrders[[#This Row],[Order value]]&lt;=0),"",(tblVerifyOrders[[#This Row],[Order value]]-tblVerifyOrders[[#This Row],[Actual cost]])/tblVerifyOrders[[#This Row],[Order value]]))</calculatedColumnFormula>
    </tableColumn>
    <tableColumn id="18" name="Hours used">
      <calculatedColumnFormula>IF(tblVerifyOrders[[#This Row],[Released]]="","",IF(tblVerifyOrders[[#This Row],[Est hours]]&gt;0,tblVerifyOrders[[#This Row],[Actual hours]]/tblVerifyOrders[[#This Row],[Est hours]],""))</calculatedColumnFormula>
    </tableColumn>
    <tableColumn id="19" name="Days late">
      <calculatedColumnFormula>IF(tblVerifyOrders[[#This Row],[Released]]="","",MAX(0,IF(tblVerifyOrders[[#This Row],[Shipped]]="",$E$40,tblVerifyOrders[[#This Row],[Shipped]])-tblVerifyOrders[[#This Row],[Due]]))</calculatedColumnFormula>
    </tableColumn>
    <tableColumn id="20" name="Lead time">
      <calculatedColumnFormula>IF(tblVerifyOrders[[#This Row],[Released]]="","",IF(tblVerifyOrders[[#This Row],[Shipped]]="","",tblVerifyOrders[[#This Row],[Shipped]]-tblVerifyOrders[[#This Row],[Released]]))</calculatedColumnFormula>
    </tableColumn>
    <tableColumn id="21" name="Status">
      <calculatedColumnFormula>IF(tblVerifyOrders[[#This Row],[Released]]="","",IF(tblVerifyOrders[[#This Row],[Shipped]]&lt;&gt;"","Complete",IF(tblVerifyOrders[[#This Row],[Due]]="","",IF(tblVerifyOrders[[#This Row],[Due]]&lt;$E$40,"Overdue",IF(tblVerifyOrders[[#This Row],[Due]]-$E$40&lt;=$E$41,"Due soon","In progress")))))</calculatedColumnFormula>
    </tableColumn>
    <tableColumn id="22" name="On time">
      <calculatedColumnFormula>IF(tblVerifyOrders[[#This Row],[Released]]="","",IF(OR(tblVerifyOrders[[#This Row],[Shipped]]="",tblVerifyOrders[[#This Row],[Due]]=""),"",IF(tblVerifyOrders[[#This Row],[Shipped]]&lt;=tblVerifyOrders[[#This Row],[Due]],"Yes","No")))</calculatedColumnFormula>
    </tableColumn>
    <tableColumn id="23" name="View ship">
      <calculatedColumnFormula>IF(tblVerifyOrders[[#This Row],[Released]]="","",IF(AND(tblVerifyOrders[[#This Row],[Shipped]]&lt;&gt;"",tblVerifyOrders[[#This Row],[Shipped]]&gt;=$E$35,tblVerifyOrders[[#This Row],[Shipped]]&lt;=$E$36,OR($E$37="",tblVerifyOrders[[#This Row],[Customer]]=$E$37)),tblVerifyOrders[[#This Row],[Shipped]],""))</calculatedColumnFormula>
    </tableColumn>
    <tableColumn id="24" name="View open">
      <calculatedColumnFormula>IF(tblVerifyOrders[[#This Row],[Released]]="","",IF(AND(tblVerifyOrders[[#This Row],[Shipped]]="",OR($E$37="",tblVerifyOrders[[#This Row],[Customer]]=$E$37)),tblVerifyOrders[[#This Row],[Released]],""))</calculatedColumnFormula>
    </tableColumn>
    <tableColumn id="25" name="Check">
      <calculatedColumnFormula>IF(tblVerifyOrders[[#This Row],[Released]]="","",IF(tblVerifyOrders[[#This Row],[WO No.]]="","Missing wo no.",IF(tblVerifyOrders[[#This Row],[Customer]]="","Missing customer",IF(tblVerifyOrders[[#This Row],[Due]]="","Missing due",IF(COUNTIF(tblVerifyCustomers[Customer],tblVerifyOrders[[#This Row],[Customer]])=0,"Customer not on Setup list",IF(tblVerifyOrders[[#This Row],[Due]]&lt;tblVerifyOrders[[#This Row],[Released]],"Due before released",IF(AND(tblVerifyOrders[[#This Row],[Shipped]]&lt;&gt;"",tblVerifyOrders[[#This Row],[Shipped]]&lt;tblVerifyOrders[[#This Row],[Released]]),"Shipped before released",IF(OR(tblVerifyOrders[[#This Row],[Released]]&gt;$E$40,AND(tblVerifyOrders[[#This Row],[Shipped]]&lt;&gt;"",tblVerifyOrders[[#This Row],[Shipped]]&gt;$E$40)),"Date after the status date",IF(AND(tblVerifyOrders[[#This Row],[Shipped]]="",tblVerifyOrders[[#This Row],[Stage]]=""),"Open job with no stage",IF(AND(tblVerifyOrders[[#This Row],[Shipped]]&lt;&gt;"",tblVerifyOrders[[#This Row],[Actual hours]]=0),"Shipped with no actual hours",IF(COUNTIF(tblVerifyOrders[WO No.],tblVerifyOrders[[#This Row],[WO No.]])&gt;1,"Duplicate WO No.","OK")))))))))))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ork-order-tracker" TargetMode="External"/><Relationship Id="rId2" Type="http://schemas.openxmlformats.org/officeDocument/2006/relationships/hyperlink" Target="https://www.mfgcalcs.com/calculators/contract-manufacturing-job-shop-quoting/job-costing-variance?utm_source=mfgcalcs-template&amp;utm_medium=xlsx&amp;utm_campaign=work-order-tracker" TargetMode="External"/><Relationship Id="rId3" Type="http://schemas.openxmlformats.org/officeDocument/2006/relationships/hyperlink" Target="https://www.mfgcalcs.com/templates/work-order-tracker?utm_source=mfgcalcs-template&amp;utm_medium=xlsx&amp;utm_campaign=work-order-tracker" TargetMode="External"/><Relationship Id="rId4" Type="http://schemas.openxmlformats.org/officeDocument/2006/relationships/hyperlink" Target="https://www.mfgcalcs.com/templates?utm_source=mfgcalcs-template&amp;utm_medium=xlsx&amp;utm_campaign=work-order-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ork-order-tracke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ork-order-tracke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ork-order-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ork-order-tracker" TargetMode="External"/><Relationship Id="rId2" Type="http://schemas.openxmlformats.org/officeDocument/2006/relationships/hyperlink" Target="https://www.mfgcalcs.com/calculators/contract-manufacturing-job-shop-quoting/job-costing-variance?utm_source=mfgcalcs-template&amp;utm_medium=xlsx&amp;utm_campaign=work-order-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ork-order-tracker"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19 of 19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Work Orders'!A1" tooltip="Go to Work Orders" display="Work Order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Job Shop Work Order Tracker&amp;R&amp;8&amp;A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9"/>
  <sheetViews>
    <sheetView showGridLines="0" workbookViewId="0"/>
  </sheetViews>
  <sheetFormatPr defaultRowHeight="15"/>
  <cols>
    <col min="1" max="1" width="2.7109375" customWidth="1"/>
    <col min="2" max="2" width="30.7109375" customWidth="1"/>
    <col min="3" max="3" width="16.7109375" customWidth="1"/>
    <col min="4" max="4" width="46.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67</v>
      </c>
      <c r="C4" s="8"/>
      <c r="D4" s="8"/>
    </row>
    <row r="5" spans="1:5" ht="5" customHeight="1"/>
    <row r="6" spans="1:5">
      <c r="B6" s="27" t="s">
        <v>68</v>
      </c>
      <c r="C6" s="28" t="s">
        <v>69</v>
      </c>
      <c r="D6" s="28"/>
    </row>
    <row r="7" spans="1:5">
      <c r="B7" s="27" t="s">
        <v>70</v>
      </c>
      <c r="C7" s="28" t="s">
        <v>71</v>
      </c>
      <c r="D7" s="28"/>
    </row>
    <row r="8" spans="1:5">
      <c r="B8" s="27" t="s">
        <v>72</v>
      </c>
      <c r="C8" s="29">
        <v>95</v>
      </c>
      <c r="D8" s="7" t="str">
        <f>Currency&amp;" per hour"</f>
        <v>USD per hour</v>
      </c>
    </row>
    <row r="9" spans="1:5">
      <c r="B9" s="27" t="s">
        <v>73</v>
      </c>
      <c r="C9" s="29">
        <v>98</v>
      </c>
      <c r="D9" s="7" t="str">
        <f>Currency&amp;" per hour"</f>
        <v>USD per hour</v>
      </c>
    </row>
    <row r="10" spans="1:5">
      <c r="B10" s="27" t="s">
        <v>74</v>
      </c>
      <c r="C10" s="30">
        <v>46304</v>
      </c>
      <c r="D10" s="7"/>
    </row>
    <row r="11" spans="1:5">
      <c r="B11" s="27" t="s">
        <v>75</v>
      </c>
      <c r="C11" s="31">
        <v>5</v>
      </c>
      <c r="D11" s="7" t="s">
        <v>76</v>
      </c>
    </row>
    <row r="12" spans="1:5">
      <c r="B12" s="27" t="s">
        <v>77</v>
      </c>
      <c r="C12" s="32">
        <v>0.95</v>
      </c>
      <c r="D12" s="7"/>
    </row>
    <row r="13" spans="1:5">
      <c r="B13" s="27" t="s">
        <v>78</v>
      </c>
      <c r="C13" s="32">
        <v>0.25</v>
      </c>
      <c r="D13" s="7"/>
    </row>
    <row r="14" spans="1:5">
      <c r="B14" s="27" t="s">
        <v>79</v>
      </c>
      <c r="C14" s="32">
        <v>0.1</v>
      </c>
      <c r="D14" s="7"/>
    </row>
    <row r="16" spans="1:5" ht="35.4" customHeight="1">
      <c r="B16" s="25" t="s">
        <v>80</v>
      </c>
      <c r="C16" s="25"/>
      <c r="D16" s="25"/>
    </row>
    <row r="18" spans="2:4" ht="21" customHeight="1">
      <c r="B18" s="8" t="s">
        <v>81</v>
      </c>
      <c r="C18" s="8"/>
      <c r="D18" s="8"/>
    </row>
    <row r="19" spans="2:4" ht="5" customHeight="1"/>
    <row r="20" spans="2:4">
      <c r="B20" s="33" t="s">
        <v>82</v>
      </c>
      <c r="C20" s="33"/>
      <c r="D20" s="33"/>
    </row>
    <row r="21" spans="2:4" ht="20" customHeight="1">
      <c r="B21" s="34" t="s">
        <v>62</v>
      </c>
      <c r="C21" s="34" t="s">
        <v>63</v>
      </c>
      <c r="D21" s="34" t="s">
        <v>64</v>
      </c>
    </row>
    <row r="22" spans="2:4">
      <c r="B22" s="28" t="s">
        <v>83</v>
      </c>
      <c r="C22" s="28" t="s">
        <v>84</v>
      </c>
      <c r="D22" s="28" t="s">
        <v>85</v>
      </c>
    </row>
    <row r="23" spans="2:4">
      <c r="B23" s="28" t="s">
        <v>86</v>
      </c>
      <c r="C23" s="28" t="s">
        <v>87</v>
      </c>
      <c r="D23" s="28" t="s">
        <v>88</v>
      </c>
    </row>
    <row r="24" spans="2:4">
      <c r="B24" s="28" t="s">
        <v>89</v>
      </c>
      <c r="C24" s="28" t="s">
        <v>90</v>
      </c>
      <c r="D24" s="28" t="s">
        <v>91</v>
      </c>
    </row>
    <row r="25" spans="2:4">
      <c r="B25" s="28" t="s">
        <v>92</v>
      </c>
      <c r="C25" s="28" t="s">
        <v>93</v>
      </c>
      <c r="D25" s="28" t="s">
        <v>94</v>
      </c>
    </row>
    <row r="26" spans="2:4">
      <c r="B26" s="28" t="s">
        <v>95</v>
      </c>
      <c r="C26" s="28" t="s">
        <v>96</v>
      </c>
      <c r="D26" s="28" t="s">
        <v>97</v>
      </c>
    </row>
    <row r="27" spans="2:4">
      <c r="B27" s="28" t="s">
        <v>98</v>
      </c>
      <c r="C27" s="28" t="s">
        <v>99</v>
      </c>
      <c r="D27" s="28" t="s">
        <v>100</v>
      </c>
    </row>
    <row r="29" spans="2:4">
      <c r="B29" s="33" t="s">
        <v>101</v>
      </c>
      <c r="C29" s="33"/>
    </row>
    <row r="30" spans="2:4" ht="29.76" customHeight="1">
      <c r="B30" s="35" t="s">
        <v>102</v>
      </c>
      <c r="C30" s="35"/>
    </row>
    <row r="31" spans="2:4" ht="20" customHeight="1">
      <c r="B31" s="34" t="s">
        <v>65</v>
      </c>
      <c r="C31" s="34" t="s">
        <v>66</v>
      </c>
    </row>
    <row r="32" spans="2:4">
      <c r="B32" s="28" t="s">
        <v>103</v>
      </c>
      <c r="C32" s="28" t="s">
        <v>104</v>
      </c>
    </row>
    <row r="33" spans="2:3">
      <c r="B33" s="28" t="s">
        <v>105</v>
      </c>
      <c r="C33" s="28" t="s">
        <v>106</v>
      </c>
    </row>
    <row r="34" spans="2:3">
      <c r="B34" s="28" t="s">
        <v>107</v>
      </c>
      <c r="C34" s="28" t="s">
        <v>108</v>
      </c>
    </row>
    <row r="35" spans="2:3">
      <c r="B35" s="28" t="s">
        <v>109</v>
      </c>
      <c r="C35" s="28" t="s">
        <v>110</v>
      </c>
    </row>
    <row r="36" spans="2:3">
      <c r="B36" s="28" t="s">
        <v>111</v>
      </c>
      <c r="C36" s="28" t="s">
        <v>112</v>
      </c>
    </row>
    <row r="37" spans="2:3">
      <c r="B37" s="28" t="s">
        <v>113</v>
      </c>
      <c r="C37" s="28" t="s">
        <v>114</v>
      </c>
    </row>
    <row r="38" spans="2:3">
      <c r="B38" s="28" t="s">
        <v>115</v>
      </c>
      <c r="C38" s="28" t="s">
        <v>116</v>
      </c>
    </row>
    <row r="39" spans="2:3">
      <c r="B39" s="28" t="s">
        <v>117</v>
      </c>
      <c r="C39" s="28" t="s">
        <v>118</v>
      </c>
    </row>
  </sheetData>
  <mergeCells count="11">
    <mergeCell ref="A1:E1"/>
    <mergeCell ref="B2:C2"/>
    <mergeCell ref="D2:E2"/>
    <mergeCell ref="B4:D4"/>
    <mergeCell ref="C6:D6"/>
    <mergeCell ref="C7:D7"/>
    <mergeCell ref="B16:D16"/>
    <mergeCell ref="B18:D18"/>
    <mergeCell ref="B20:D20"/>
    <mergeCell ref="B29:C29"/>
    <mergeCell ref="B30:C30"/>
  </mergeCells>
  <dataValidations count="14">
    <dataValidation type="textLength" allowBlank="1" showInputMessage="1" showErrorMessage="1" errorTitle="Check this entry" error="Text up to 80 characters." promptTitle="Shop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number from 0 to 100,000." promptTitle="Estimating shop rate" prompt="The hourly rate your quotes use. Estimated cost = estimated hours x this rate + estimated material. Enter a number from 0 to 100,000." sqref="C8">
      <formula1>0</formula1>
      <formula2>100000.0</formula2>
    </dataValidation>
    <dataValidation type="decimal" allowBlank="1" showInputMessage="1" showErrorMessage="1" errorTitle="Check this entry" error="Enter a number from 0 to 100,000." promptTitle="Costing shop rate" prompt="The hourly rate you cost actual hours at (your current burdened rate). Equal to the estimating rate if you use one rate. Enter a number from 0 to 100,000." sqref="C9">
      <formula1>0</formula1>
      <formula2>100000.0</formula2>
    </dataValidation>
    <dataValidation type="date" allowBlank="1" showInputMessage="1" showErrorMessage="1" errorTitle="Check this entry" error="Enter a date between 01 Jan 2000 and 31 Dec 2100." promptTitle="Status date" prompt="Open work orders are measured to this date (overdue, due soon, days late). Type the date of your meeting; the file never changes by itself. Enter a date between 01 Jan 2000 and 31 Dec 2100." sqref="C10">
      <formula1>36526</formula1>
      <formula2>73415</formula2>
    </dataValidation>
    <dataValidation type="whole" allowBlank="1" showInputMessage="1" showErrorMessage="1" errorTitle="Check this entry" error="Enter a whole number from 0 to 365." promptTitle="Due soon window" prompt="An open work order due within this many calendar days of the status date shows Due soon. Enter a whole number from 0 to 365." sqref="C11">
      <formula1>0</formula1>
      <formula2>365</formula2>
    </dataValidation>
    <dataValidation type="decimal" allowBlank="1" showInputMessage="1" showErrorMessage="1" errorTitle="Check this entry" error="Enter a percentage from 0% to 100% (type 85% or 0.85)." promptTitle="On-time delivery target" prompt="Your own target for the share of work orders shipped on or before their due date. Enter a percentage from 0% to 100% (type 85% or 0.85)." sqref="C12">
      <formula1>0</formula1>
      <formula2>1</formula2>
    </dataValidation>
    <dataValidation type="decimal" allowBlank="1" showInputMessage="1" showErrorMessage="1" errorTitle="Check this entry" error="Enter a percentage from 0% to 100% (type 85% or 0.85)." promptTitle="Margin target" prompt="Your own target for (order value - actual cost) / order value on shipped jobs. Enter a percentage from 0% to 100% (type 85% or 0.85)." sqref="C13">
      <formula1>0</formula1>
      <formula2>1</formula2>
    </dataValidation>
    <dataValidation type="decimal" allowBlank="1" showInputMessage="1" showErrorMessage="1" errorTitle="Check this entry" error="Enter a percentage from 0% to 100% (type 85% or 0.85)." promptTitle="Hours overrun tolerance" prompt="Actual hours up to this much above the estimate count as On target on the Dashboard. Enter a percentage from 0% to 100% (type 85% or 0.85)." sqref="C14">
      <formula1>0</formula1>
      <formula2>1</formula2>
    </dataValidation>
    <dataValidation type="textLength" allowBlank="1" showInputMessage="1" showErrorMessage="1" errorTitle="Check this entry" error="Text up to 60 characters." promptTitle="Customer" prompt="Text up to 60 characters." sqref="B22:B127">
      <formula1>0</formula1>
      <formula2>60</formula2>
    </dataValidation>
    <dataValidation type="textLength" allowBlank="1" showInputMessage="1" showErrorMessage="1" errorTitle="Check this entry" error="Text up to 60 characters." promptTitle="Contact" prompt="Text up to 60 characters." sqref="C22:C127">
      <formula1>0</formula1>
      <formula2>60</formula2>
    </dataValidation>
    <dataValidation type="textLength" allowBlank="1" showInputMessage="1" showErrorMessage="1" errorTitle="Check this entry" error="Text up to 120 characters." promptTitle="Notes" prompt="Text up to 120 characters." sqref="D22:D127">
      <formula1>0</formula1>
      <formula2>120</formula2>
    </dataValidation>
    <dataValidation type="textLength" allowBlank="1" showInputMessage="1" showErrorMessage="1" errorTitle="Check this entry" error="Text up to 40 characters." promptTitle="Stage" prompt="Text up to 40 characters." sqref="B32:B139">
      <formula1>0</formula1>
      <formula2>40</formula2>
    </dataValidation>
    <dataValidation type="textLength" allowBlank="1" showInputMessage="1" showErrorMessage="1" errorTitle="Check this entry" error="Text up to 120 characters." promptTitle="Meaning" prompt="Text up to 120 characters." sqref="C32:C139">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Job Shop Work Order Tracker&amp;R&amp;8&amp;A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Z78"/>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9.7109375" customWidth="1"/>
    <col min="3" max="3" width="14.7109375" customWidth="1"/>
    <col min="4" max="4" width="9.7109375" customWidth="1"/>
    <col min="5" max="5" width="6.7109375" customWidth="1"/>
    <col min="6" max="8" width="12.28515625" customWidth="1"/>
    <col min="9" max="9" width="12.7109375" customWidth="1"/>
    <col min="10" max="10" width="10.7109375" customWidth="1"/>
    <col min="11" max="12" width="8.28515625" customWidth="1"/>
    <col min="13" max="17" width="9.7109375" customWidth="1"/>
    <col min="18" max="18" width="8.7109375" customWidth="1"/>
    <col min="19" max="19" width="8.28515625" customWidth="1"/>
    <col min="20" max="20" width="7.28515625" customWidth="1"/>
    <col min="21" max="21" width="7.7109375" customWidth="1"/>
    <col min="22" max="22" width="11.28515625" customWidth="1"/>
    <col min="23" max="23" width="7.7109375" customWidth="1"/>
    <col min="24" max="25" width="12.28515625" customWidth="1"/>
    <col min="26" max="26" width="24.7109375" customWidth="1"/>
  </cols>
  <sheetData>
    <row r="1" spans="1:26" ht="30"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21" customHeight="1">
      <c r="B2" s="2" t="s">
        <v>22</v>
      </c>
      <c r="C2" s="2"/>
      <c r="D2" s="2"/>
      <c r="E2" s="2"/>
      <c r="F2" s="2"/>
      <c r="G2" s="2"/>
      <c r="H2" s="2"/>
      <c r="I2" s="2"/>
      <c r="J2" s="2"/>
      <c r="K2" s="2"/>
      <c r="L2" s="2"/>
      <c r="M2" s="2"/>
      <c r="N2" s="2"/>
      <c r="O2" s="2"/>
      <c r="P2" s="2"/>
      <c r="Q2" s="2"/>
      <c r="R2" s="2"/>
      <c r="S2" s="2"/>
      <c r="T2" s="2"/>
      <c r="U2" s="2"/>
      <c r="V2" s="2"/>
      <c r="W2" s="2"/>
      <c r="X2" s="2"/>
      <c r="Y2" s="2"/>
      <c r="Z2" s="3" t="s">
        <v>2</v>
      </c>
    </row>
    <row r="3" spans="1:26" ht="6" customHeight="1"/>
    <row r="4" spans="1:26" ht="18" customHeight="1">
      <c r="B4" s="35" t="s">
        <v>141</v>
      </c>
      <c r="C4" s="35"/>
      <c r="D4" s="35"/>
      <c r="E4" s="35"/>
      <c r="F4" s="35"/>
      <c r="G4" s="35"/>
      <c r="H4" s="35"/>
      <c r="I4" s="35"/>
      <c r="J4" s="35"/>
      <c r="K4" s="35"/>
      <c r="L4" s="35"/>
      <c r="M4" s="35"/>
      <c r="N4" s="35"/>
      <c r="O4" s="35"/>
      <c r="P4" s="35"/>
      <c r="Q4" s="35"/>
      <c r="R4" s="35"/>
      <c r="S4" s="35"/>
      <c r="T4" s="35"/>
      <c r="U4" s="35"/>
      <c r="V4" s="35"/>
      <c r="W4" s="35"/>
      <c r="X4" s="35"/>
      <c r="Y4" s="35"/>
      <c r="Z4" s="35"/>
    </row>
    <row r="5" spans="1:26" ht="14" customHeight="1">
      <c r="B5" s="36"/>
      <c r="C5" s="36"/>
      <c r="D5" s="36"/>
      <c r="E5" s="36"/>
      <c r="F5" s="36"/>
      <c r="G5" s="36"/>
      <c r="H5" s="36"/>
      <c r="I5" s="36"/>
      <c r="J5" s="36" t="str">
        <f>Currency</f>
        <v>USD</v>
      </c>
      <c r="K5" s="36" t="s">
        <v>142</v>
      </c>
      <c r="L5" s="36" t="s">
        <v>142</v>
      </c>
      <c r="M5" s="36" t="str">
        <f>Currency</f>
        <v>USD</v>
      </c>
      <c r="N5" s="36" t="str">
        <f>Currency</f>
        <v>USD</v>
      </c>
      <c r="O5" s="36" t="str">
        <f>Currency</f>
        <v>USD</v>
      </c>
      <c r="P5" s="36" t="str">
        <f>Currency</f>
        <v>USD</v>
      </c>
      <c r="Q5" s="36" t="str">
        <f>Currency</f>
        <v>USD</v>
      </c>
      <c r="R5" s="36"/>
      <c r="S5" s="36"/>
      <c r="T5" s="36" t="s">
        <v>76</v>
      </c>
      <c r="U5" s="36" t="s">
        <v>76</v>
      </c>
      <c r="V5" s="36"/>
      <c r="W5" s="36"/>
      <c r="X5" s="36"/>
      <c r="Y5" s="36"/>
      <c r="Z5" s="36"/>
    </row>
    <row r="6" spans="1:26" ht="32" customHeight="1">
      <c r="B6" s="34" t="s">
        <v>119</v>
      </c>
      <c r="C6" s="34" t="s">
        <v>62</v>
      </c>
      <c r="D6" s="34" t="s">
        <v>120</v>
      </c>
      <c r="E6" s="34" t="s">
        <v>121</v>
      </c>
      <c r="F6" s="34" t="s">
        <v>103</v>
      </c>
      <c r="G6" s="34" t="s">
        <v>122</v>
      </c>
      <c r="H6" s="34" t="s">
        <v>123</v>
      </c>
      <c r="I6" s="34" t="s">
        <v>65</v>
      </c>
      <c r="J6" s="34" t="s">
        <v>124</v>
      </c>
      <c r="K6" s="34" t="s">
        <v>125</v>
      </c>
      <c r="L6" s="34" t="s">
        <v>126</v>
      </c>
      <c r="M6" s="34" t="s">
        <v>127</v>
      </c>
      <c r="N6" s="34" t="s">
        <v>128</v>
      </c>
      <c r="O6" s="34" t="s">
        <v>129</v>
      </c>
      <c r="P6" s="34" t="s">
        <v>130</v>
      </c>
      <c r="Q6" s="34" t="s">
        <v>131</v>
      </c>
      <c r="R6" s="34" t="s">
        <v>132</v>
      </c>
      <c r="S6" s="34" t="s">
        <v>133</v>
      </c>
      <c r="T6" s="34" t="s">
        <v>134</v>
      </c>
      <c r="U6" s="34" t="s">
        <v>135</v>
      </c>
      <c r="V6" s="34" t="s">
        <v>136</v>
      </c>
      <c r="W6" s="34" t="s">
        <v>137</v>
      </c>
      <c r="X6" s="34" t="s">
        <v>138</v>
      </c>
      <c r="Y6" s="34" t="s">
        <v>139</v>
      </c>
      <c r="Z6" s="34" t="s">
        <v>140</v>
      </c>
    </row>
    <row r="7" spans="1:26">
      <c r="B7" s="28" t="s">
        <v>143</v>
      </c>
      <c r="C7" s="28" t="s">
        <v>98</v>
      </c>
      <c r="D7" s="28" t="s">
        <v>144</v>
      </c>
      <c r="E7" s="31">
        <v>1</v>
      </c>
      <c r="F7" s="30">
        <v>46204</v>
      </c>
      <c r="G7" s="30">
        <v>46223</v>
      </c>
      <c r="H7" s="30">
        <v>46220</v>
      </c>
      <c r="I7" s="28"/>
      <c r="J7" s="29">
        <v>1310</v>
      </c>
      <c r="K7" s="37">
        <v>8</v>
      </c>
      <c r="L7" s="29">
        <v>10.75</v>
      </c>
      <c r="M7" s="29">
        <v>115</v>
      </c>
      <c r="N7" s="29">
        <v>125</v>
      </c>
      <c r="O7" s="38">
        <f>IF(tblOrders[[#This Row],[Released]]="","",tblOrders[[#This Row],[Est hours]]*EstRate+tblOrders[[#This Row],[Est material]])</f>
        <v>875</v>
      </c>
      <c r="P7" s="38">
        <f>IF(tblOrders[[#This Row],[Released]]="","",tblOrders[[#This Row],[Actual hours]]*CostRate+tblOrders[[#This Row],[Actual material]])</f>
        <v>1178.5</v>
      </c>
      <c r="Q7" s="38">
        <f>IF(tblOrders[[#This Row],[Released]]="","",IF(tblOrders[[#This Row],[Shipped]]="","",tblOrders[[#This Row],[Actual cost]]-tblOrders[[#This Row],[Est cost]]))</f>
        <v>303.5</v>
      </c>
      <c r="R7" s="39">
        <f>IF(tblOrders[[#This Row],[Released]]="","",IF(OR(tblOrders[[#This Row],[Shipped]]="",tblOrders[[#This Row],[Order value]]&lt;=0),"",(tblOrders[[#This Row],[Order value]]-tblOrders[[#This Row],[Actual cost]])/tblOrders[[#This Row],[Order value]]))</f>
        <v>0.100381679389313</v>
      </c>
      <c r="S7" s="40">
        <f>IF(tblOrders[[#This Row],[Released]]="","",IF(tblOrders[[#This Row],[Est hours]]&gt;0,tblOrders[[#This Row],[Actual hours]]/tblOrders[[#This Row],[Est hours]],""))</f>
        <v>1.34375</v>
      </c>
      <c r="T7" s="38">
        <f>IF(tblOrders[[#This Row],[Released]]="","",MAX(0,IF(tblOrders[[#This Row],[Shipped]]="",AsOf,tblOrders[[#This Row],[Shipped]])-tblOrders[[#This Row],[Due]]))</f>
        <v>0</v>
      </c>
      <c r="U7" s="38">
        <f>IF(tblOrders[[#This Row],[Released]]="","",IF(tblOrders[[#This Row],[Shipped]]="","",tblOrders[[#This Row],[Shipped]]-tblOrders[[#This Row],[Released]]))</f>
        <v>16</v>
      </c>
      <c r="V7" s="41" t="str">
        <f>IF(tblOrders[[#This Row],[Released]]="","",IF(tblOrders[[#This Row],[Shipped]]&lt;&gt;"","Complete",IF(tblOrders[[#This Row],[Due]]="","",IF(tblOrders[[#This Row],[Due]]&lt;AsOf,"Overdue",IF(tblOrders[[#This Row],[Due]]-AsOf&lt;=DueSoonDays,"Due soon","In progress")))))</f>
        <v>Complete</v>
      </c>
      <c r="W7" s="41" t="str">
        <f>IF(tblOrders[[#This Row],[Released]]="","",IF(OR(tblOrders[[#This Row],[Shipped]]="",tblOrders[[#This Row],[Due]]=""),"",IF(tblOrders[[#This Row],[Shipped]]&lt;=tblOrders[[#This Row],[Due]],"Yes","No")))</f>
        <v>Yes</v>
      </c>
      <c r="X7" s="42">
        <f>IF(tblOrders[[#This Row],[Released]]="","",IF(AND(tblOrders[[#This Row],[Shipped]]&lt;&gt;"",tblOrders[[#This Row],[Shipped]]&gt;=FFrom,tblOrders[[#This Row],[Shipped]]&lt;=FTo,OR(DashCustomer="",tblOrders[[#This Row],[Customer]]=DashCustomer)),tblOrders[[#This Row],[Shipped]],""))</f>
        <v>46220</v>
      </c>
      <c r="Y7" s="42">
        <f>IF(tblOrders[[#This Row],[Released]]="","",IF(AND(tblOrders[[#This Row],[Shipped]]="",OR(DashCustomer="",tblOrders[[#This Row],[Customer]]=DashCustomer)),tblOrders[[#This Row],[Released]],""))</f>
        <v/>
      </c>
      <c r="Z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8" spans="1:26">
      <c r="B8" s="28" t="s">
        <v>145</v>
      </c>
      <c r="C8" s="28" t="s">
        <v>89</v>
      </c>
      <c r="D8" s="28" t="s">
        <v>146</v>
      </c>
      <c r="E8" s="31">
        <v>50</v>
      </c>
      <c r="F8" s="30">
        <v>46205</v>
      </c>
      <c r="G8" s="30">
        <v>46220</v>
      </c>
      <c r="H8" s="30">
        <v>46220</v>
      </c>
      <c r="I8" s="28"/>
      <c r="J8" s="29">
        <v>3630</v>
      </c>
      <c r="K8" s="37">
        <v>22.5</v>
      </c>
      <c r="L8" s="29">
        <v>22.5</v>
      </c>
      <c r="M8" s="29">
        <v>295</v>
      </c>
      <c r="N8" s="29">
        <v>310</v>
      </c>
      <c r="O8" s="38">
        <f>IF(tblOrders[[#This Row],[Released]]="","",tblOrders[[#This Row],[Est hours]]*EstRate+tblOrders[[#This Row],[Est material]])</f>
        <v>2432.5</v>
      </c>
      <c r="P8" s="38">
        <f>IF(tblOrders[[#This Row],[Released]]="","",tblOrders[[#This Row],[Actual hours]]*CostRate+tblOrders[[#This Row],[Actual material]])</f>
        <v>2515</v>
      </c>
      <c r="Q8" s="38">
        <f>IF(tblOrders[[#This Row],[Released]]="","",IF(tblOrders[[#This Row],[Shipped]]="","",tblOrders[[#This Row],[Actual cost]]-tblOrders[[#This Row],[Est cost]]))</f>
        <v>82.5</v>
      </c>
      <c r="R8" s="39">
        <f>IF(tblOrders[[#This Row],[Released]]="","",IF(OR(tblOrders[[#This Row],[Shipped]]="",tblOrders[[#This Row],[Order value]]&lt;=0),"",(tblOrders[[#This Row],[Order value]]-tblOrders[[#This Row],[Actual cost]])/tblOrders[[#This Row],[Order value]]))</f>
        <v>0.307162534435262</v>
      </c>
      <c r="S8" s="40">
        <f>IF(tblOrders[[#This Row],[Released]]="","",IF(tblOrders[[#This Row],[Est hours]]&gt;0,tblOrders[[#This Row],[Actual hours]]/tblOrders[[#This Row],[Est hours]],""))</f>
        <v>1</v>
      </c>
      <c r="T8" s="38">
        <f>IF(tblOrders[[#This Row],[Released]]="","",MAX(0,IF(tblOrders[[#This Row],[Shipped]]="",AsOf,tblOrders[[#This Row],[Shipped]])-tblOrders[[#This Row],[Due]]))</f>
        <v>0</v>
      </c>
      <c r="U8" s="38">
        <f>IF(tblOrders[[#This Row],[Released]]="","",IF(tblOrders[[#This Row],[Shipped]]="","",tblOrders[[#This Row],[Shipped]]-tblOrders[[#This Row],[Released]]))</f>
        <v>15</v>
      </c>
      <c r="V8" s="41" t="str">
        <f>IF(tblOrders[[#This Row],[Released]]="","",IF(tblOrders[[#This Row],[Shipped]]&lt;&gt;"","Complete",IF(tblOrders[[#This Row],[Due]]="","",IF(tblOrders[[#This Row],[Due]]&lt;AsOf,"Overdue",IF(tblOrders[[#This Row],[Due]]-AsOf&lt;=DueSoonDays,"Due soon","In progress")))))</f>
        <v>Complete</v>
      </c>
      <c r="W8" s="41" t="str">
        <f>IF(tblOrders[[#This Row],[Released]]="","",IF(OR(tblOrders[[#This Row],[Shipped]]="",tblOrders[[#This Row],[Due]]=""),"",IF(tblOrders[[#This Row],[Shipped]]&lt;=tblOrders[[#This Row],[Due]],"Yes","No")))</f>
        <v>Yes</v>
      </c>
      <c r="X8" s="42">
        <f>IF(tblOrders[[#This Row],[Released]]="","",IF(AND(tblOrders[[#This Row],[Shipped]]&lt;&gt;"",tblOrders[[#This Row],[Shipped]]&gt;=FFrom,tblOrders[[#This Row],[Shipped]]&lt;=FTo,OR(DashCustomer="",tblOrders[[#This Row],[Customer]]=DashCustomer)),tblOrders[[#This Row],[Shipped]],""))</f>
        <v>46220</v>
      </c>
      <c r="Y8" s="42">
        <f>IF(tblOrders[[#This Row],[Released]]="","",IF(AND(tblOrders[[#This Row],[Shipped]]="",OR(DashCustomer="",tblOrders[[#This Row],[Customer]]=DashCustomer)),tblOrders[[#This Row],[Released]],""))</f>
        <v/>
      </c>
      <c r="Z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9" spans="1:26">
      <c r="B9" s="28" t="s">
        <v>147</v>
      </c>
      <c r="C9" s="28" t="s">
        <v>86</v>
      </c>
      <c r="D9" s="28" t="s">
        <v>148</v>
      </c>
      <c r="E9" s="31">
        <v>4</v>
      </c>
      <c r="F9" s="30">
        <v>46206</v>
      </c>
      <c r="G9" s="30">
        <v>46220</v>
      </c>
      <c r="H9" s="30">
        <v>46230</v>
      </c>
      <c r="I9" s="28"/>
      <c r="J9" s="29">
        <v>1560</v>
      </c>
      <c r="K9" s="37">
        <v>9.5</v>
      </c>
      <c r="L9" s="29">
        <v>9.75</v>
      </c>
      <c r="M9" s="29">
        <v>160</v>
      </c>
      <c r="N9" s="29">
        <v>160</v>
      </c>
      <c r="O9" s="38">
        <f>IF(tblOrders[[#This Row],[Released]]="","",tblOrders[[#This Row],[Est hours]]*EstRate+tblOrders[[#This Row],[Est material]])</f>
        <v>1062.5</v>
      </c>
      <c r="P9" s="38">
        <f>IF(tblOrders[[#This Row],[Released]]="","",tblOrders[[#This Row],[Actual hours]]*CostRate+tblOrders[[#This Row],[Actual material]])</f>
        <v>1115.5</v>
      </c>
      <c r="Q9" s="38">
        <f>IF(tblOrders[[#This Row],[Released]]="","",IF(tblOrders[[#This Row],[Shipped]]="","",tblOrders[[#This Row],[Actual cost]]-tblOrders[[#This Row],[Est cost]]))</f>
        <v>53</v>
      </c>
      <c r="R9" s="39">
        <f>IF(tblOrders[[#This Row],[Released]]="","",IF(OR(tblOrders[[#This Row],[Shipped]]="",tblOrders[[#This Row],[Order value]]&lt;=0),"",(tblOrders[[#This Row],[Order value]]-tblOrders[[#This Row],[Actual cost]])/tblOrders[[#This Row],[Order value]]))</f>
        <v>0.284935897435897</v>
      </c>
      <c r="S9" s="40">
        <f>IF(tblOrders[[#This Row],[Released]]="","",IF(tblOrders[[#This Row],[Est hours]]&gt;0,tblOrders[[#This Row],[Actual hours]]/tblOrders[[#This Row],[Est hours]],""))</f>
        <v>1.02631578947368</v>
      </c>
      <c r="T9" s="38">
        <f>IF(tblOrders[[#This Row],[Released]]="","",MAX(0,IF(tblOrders[[#This Row],[Shipped]]="",AsOf,tblOrders[[#This Row],[Shipped]])-tblOrders[[#This Row],[Due]]))</f>
        <v>10</v>
      </c>
      <c r="U9" s="38">
        <f>IF(tblOrders[[#This Row],[Released]]="","",IF(tblOrders[[#This Row],[Shipped]]="","",tblOrders[[#This Row],[Shipped]]-tblOrders[[#This Row],[Released]]))</f>
        <v>24</v>
      </c>
      <c r="V9" s="41" t="str">
        <f>IF(tblOrders[[#This Row],[Released]]="","",IF(tblOrders[[#This Row],[Shipped]]&lt;&gt;"","Complete",IF(tblOrders[[#This Row],[Due]]="","",IF(tblOrders[[#This Row],[Due]]&lt;AsOf,"Overdue",IF(tblOrders[[#This Row],[Due]]-AsOf&lt;=DueSoonDays,"Due soon","In progress")))))</f>
        <v>Complete</v>
      </c>
      <c r="W9" s="41" t="str">
        <f>IF(tblOrders[[#This Row],[Released]]="","",IF(OR(tblOrders[[#This Row],[Shipped]]="",tblOrders[[#This Row],[Due]]=""),"",IF(tblOrders[[#This Row],[Shipped]]&lt;=tblOrders[[#This Row],[Due]],"Yes","No")))</f>
        <v>No</v>
      </c>
      <c r="X9" s="42">
        <f>IF(tblOrders[[#This Row],[Released]]="","",IF(AND(tblOrders[[#This Row],[Shipped]]&lt;&gt;"",tblOrders[[#This Row],[Shipped]]&gt;=FFrom,tblOrders[[#This Row],[Shipped]]&lt;=FTo,OR(DashCustomer="",tblOrders[[#This Row],[Customer]]=DashCustomer)),tblOrders[[#This Row],[Shipped]],""))</f>
        <v>46230</v>
      </c>
      <c r="Y9" s="42">
        <f>IF(tblOrders[[#This Row],[Released]]="","",IF(AND(tblOrders[[#This Row],[Shipped]]="",OR(DashCustomer="",tblOrders[[#This Row],[Customer]]=DashCustomer)),tblOrders[[#This Row],[Released]],""))</f>
        <v/>
      </c>
      <c r="Z9"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0" spans="1:26">
      <c r="B10" s="28" t="s">
        <v>149</v>
      </c>
      <c r="C10" s="28" t="s">
        <v>95</v>
      </c>
      <c r="D10" s="28" t="s">
        <v>150</v>
      </c>
      <c r="E10" s="31">
        <v>40</v>
      </c>
      <c r="F10" s="30">
        <v>46209</v>
      </c>
      <c r="G10" s="30">
        <v>46232</v>
      </c>
      <c r="H10" s="30">
        <v>46232</v>
      </c>
      <c r="I10" s="28"/>
      <c r="J10" s="29">
        <v>1840</v>
      </c>
      <c r="K10" s="37">
        <v>13.5</v>
      </c>
      <c r="L10" s="29">
        <v>13.75</v>
      </c>
      <c r="M10" s="29">
        <v>95</v>
      </c>
      <c r="N10" s="29">
        <v>95</v>
      </c>
      <c r="O10" s="38">
        <f>IF(tblOrders[[#This Row],[Released]]="","",tblOrders[[#This Row],[Est hours]]*EstRate+tblOrders[[#This Row],[Est material]])</f>
        <v>1377.5</v>
      </c>
      <c r="P10" s="38">
        <f>IF(tblOrders[[#This Row],[Released]]="","",tblOrders[[#This Row],[Actual hours]]*CostRate+tblOrders[[#This Row],[Actual material]])</f>
        <v>1442.5</v>
      </c>
      <c r="Q10" s="38">
        <f>IF(tblOrders[[#This Row],[Released]]="","",IF(tblOrders[[#This Row],[Shipped]]="","",tblOrders[[#This Row],[Actual cost]]-tblOrders[[#This Row],[Est cost]]))</f>
        <v>65</v>
      </c>
      <c r="R10" s="39">
        <f>IF(tblOrders[[#This Row],[Released]]="","",IF(OR(tblOrders[[#This Row],[Shipped]]="",tblOrders[[#This Row],[Order value]]&lt;=0),"",(tblOrders[[#This Row],[Order value]]-tblOrders[[#This Row],[Actual cost]])/tblOrders[[#This Row],[Order value]]))</f>
        <v>0.216032608695652</v>
      </c>
      <c r="S10" s="40">
        <f>IF(tblOrders[[#This Row],[Released]]="","",IF(tblOrders[[#This Row],[Est hours]]&gt;0,tblOrders[[#This Row],[Actual hours]]/tblOrders[[#This Row],[Est hours]],""))</f>
        <v>1.01851851851852</v>
      </c>
      <c r="T10" s="38">
        <f>IF(tblOrders[[#This Row],[Released]]="","",MAX(0,IF(tblOrders[[#This Row],[Shipped]]="",AsOf,tblOrders[[#This Row],[Shipped]])-tblOrders[[#This Row],[Due]]))</f>
        <v>0</v>
      </c>
      <c r="U10" s="38">
        <f>IF(tblOrders[[#This Row],[Released]]="","",IF(tblOrders[[#This Row],[Shipped]]="","",tblOrders[[#This Row],[Shipped]]-tblOrders[[#This Row],[Released]]))</f>
        <v>23</v>
      </c>
      <c r="V10" s="41" t="str">
        <f>IF(tblOrders[[#This Row],[Released]]="","",IF(tblOrders[[#This Row],[Shipped]]&lt;&gt;"","Complete",IF(tblOrders[[#This Row],[Due]]="","",IF(tblOrders[[#This Row],[Due]]&lt;AsOf,"Overdue",IF(tblOrders[[#This Row],[Due]]-AsOf&lt;=DueSoonDays,"Due soon","In progress")))))</f>
        <v>Complete</v>
      </c>
      <c r="W10" s="41" t="str">
        <f>IF(tblOrders[[#This Row],[Released]]="","",IF(OR(tblOrders[[#This Row],[Shipped]]="",tblOrders[[#This Row],[Due]]=""),"",IF(tblOrders[[#This Row],[Shipped]]&lt;=tblOrders[[#This Row],[Due]],"Yes","No")))</f>
        <v>Yes</v>
      </c>
      <c r="X10" s="42">
        <f>IF(tblOrders[[#This Row],[Released]]="","",IF(AND(tblOrders[[#This Row],[Shipped]]&lt;&gt;"",tblOrders[[#This Row],[Shipped]]&gt;=FFrom,tblOrders[[#This Row],[Shipped]]&lt;=FTo,OR(DashCustomer="",tblOrders[[#This Row],[Customer]]=DashCustomer)),tblOrders[[#This Row],[Shipped]],""))</f>
        <v>46232</v>
      </c>
      <c r="Y10" s="42">
        <f>IF(tblOrders[[#This Row],[Released]]="","",IF(AND(tblOrders[[#This Row],[Shipped]]="",OR(DashCustomer="",tblOrders[[#This Row],[Customer]]=DashCustomer)),tblOrders[[#This Row],[Released]],""))</f>
        <v/>
      </c>
      <c r="Z10"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1" spans="1:26">
      <c r="B11" s="28" t="s">
        <v>151</v>
      </c>
      <c r="C11" s="28" t="s">
        <v>92</v>
      </c>
      <c r="D11" s="28" t="s">
        <v>152</v>
      </c>
      <c r="E11" s="31">
        <v>2</v>
      </c>
      <c r="F11" s="30">
        <v>46209</v>
      </c>
      <c r="G11" s="30">
        <v>46223</v>
      </c>
      <c r="H11" s="30">
        <v>46223</v>
      </c>
      <c r="I11" s="28"/>
      <c r="J11" s="29">
        <v>1090</v>
      </c>
      <c r="K11" s="37">
        <v>7</v>
      </c>
      <c r="L11" s="29">
        <v>6</v>
      </c>
      <c r="M11" s="29">
        <v>35</v>
      </c>
      <c r="N11" s="29">
        <v>35</v>
      </c>
      <c r="O11" s="38">
        <f>IF(tblOrders[[#This Row],[Released]]="","",tblOrders[[#This Row],[Est hours]]*EstRate+tblOrders[[#This Row],[Est material]])</f>
        <v>700</v>
      </c>
      <c r="P11" s="38">
        <f>IF(tblOrders[[#This Row],[Released]]="","",tblOrders[[#This Row],[Actual hours]]*CostRate+tblOrders[[#This Row],[Actual material]])</f>
        <v>623</v>
      </c>
      <c r="Q11" s="38">
        <f>IF(tblOrders[[#This Row],[Released]]="","",IF(tblOrders[[#This Row],[Shipped]]="","",tblOrders[[#This Row],[Actual cost]]-tblOrders[[#This Row],[Est cost]]))</f>
        <v>-77</v>
      </c>
      <c r="R11" s="39">
        <f>IF(tblOrders[[#This Row],[Released]]="","",IF(OR(tblOrders[[#This Row],[Shipped]]="",tblOrders[[#This Row],[Order value]]&lt;=0),"",(tblOrders[[#This Row],[Order value]]-tblOrders[[#This Row],[Actual cost]])/tblOrders[[#This Row],[Order value]]))</f>
        <v>0.428440366972477</v>
      </c>
      <c r="S11" s="40">
        <f>IF(tblOrders[[#This Row],[Released]]="","",IF(tblOrders[[#This Row],[Est hours]]&gt;0,tblOrders[[#This Row],[Actual hours]]/tblOrders[[#This Row],[Est hours]],""))</f>
        <v>0.857142857142857</v>
      </c>
      <c r="T11" s="38">
        <f>IF(tblOrders[[#This Row],[Released]]="","",MAX(0,IF(tblOrders[[#This Row],[Shipped]]="",AsOf,tblOrders[[#This Row],[Shipped]])-tblOrders[[#This Row],[Due]]))</f>
        <v>0</v>
      </c>
      <c r="U11" s="38">
        <f>IF(tblOrders[[#This Row],[Released]]="","",IF(tblOrders[[#This Row],[Shipped]]="","",tblOrders[[#This Row],[Shipped]]-tblOrders[[#This Row],[Released]]))</f>
        <v>14</v>
      </c>
      <c r="V11" s="41" t="str">
        <f>IF(tblOrders[[#This Row],[Released]]="","",IF(tblOrders[[#This Row],[Shipped]]&lt;&gt;"","Complete",IF(tblOrders[[#This Row],[Due]]="","",IF(tblOrders[[#This Row],[Due]]&lt;AsOf,"Overdue",IF(tblOrders[[#This Row],[Due]]-AsOf&lt;=DueSoonDays,"Due soon","In progress")))))</f>
        <v>Complete</v>
      </c>
      <c r="W11" s="41" t="str">
        <f>IF(tblOrders[[#This Row],[Released]]="","",IF(OR(tblOrders[[#This Row],[Shipped]]="",tblOrders[[#This Row],[Due]]=""),"",IF(tblOrders[[#This Row],[Shipped]]&lt;=tblOrders[[#This Row],[Due]],"Yes","No")))</f>
        <v>Yes</v>
      </c>
      <c r="X11" s="42">
        <f>IF(tblOrders[[#This Row],[Released]]="","",IF(AND(tblOrders[[#This Row],[Shipped]]&lt;&gt;"",tblOrders[[#This Row],[Shipped]]&gt;=FFrom,tblOrders[[#This Row],[Shipped]]&lt;=FTo,OR(DashCustomer="",tblOrders[[#This Row],[Customer]]=DashCustomer)),tblOrders[[#This Row],[Shipped]],""))</f>
        <v>46223</v>
      </c>
      <c r="Y11" s="42">
        <f>IF(tblOrders[[#This Row],[Released]]="","",IF(AND(tblOrders[[#This Row],[Shipped]]="",OR(DashCustomer="",tblOrders[[#This Row],[Customer]]=DashCustomer)),tblOrders[[#This Row],[Released]],""))</f>
        <v/>
      </c>
      <c r="Z11"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2" spans="1:26">
      <c r="B12" s="28" t="s">
        <v>153</v>
      </c>
      <c r="C12" s="28" t="s">
        <v>89</v>
      </c>
      <c r="D12" s="28" t="s">
        <v>154</v>
      </c>
      <c r="E12" s="31">
        <v>2</v>
      </c>
      <c r="F12" s="30">
        <v>46210</v>
      </c>
      <c r="G12" s="30">
        <v>46224</v>
      </c>
      <c r="H12" s="30">
        <v>46224</v>
      </c>
      <c r="I12" s="28"/>
      <c r="J12" s="29">
        <v>4900</v>
      </c>
      <c r="K12" s="37">
        <v>27.5</v>
      </c>
      <c r="L12" s="29">
        <v>26.75</v>
      </c>
      <c r="M12" s="29">
        <v>575</v>
      </c>
      <c r="N12" s="29">
        <v>580</v>
      </c>
      <c r="O12" s="38">
        <f>IF(tblOrders[[#This Row],[Released]]="","",tblOrders[[#This Row],[Est hours]]*EstRate+tblOrders[[#This Row],[Est material]])</f>
        <v>3187.5</v>
      </c>
      <c r="P12" s="38">
        <f>IF(tblOrders[[#This Row],[Released]]="","",tblOrders[[#This Row],[Actual hours]]*CostRate+tblOrders[[#This Row],[Actual material]])</f>
        <v>3201.5</v>
      </c>
      <c r="Q12" s="38">
        <f>IF(tblOrders[[#This Row],[Released]]="","",IF(tblOrders[[#This Row],[Shipped]]="","",tblOrders[[#This Row],[Actual cost]]-tblOrders[[#This Row],[Est cost]]))</f>
        <v>14</v>
      </c>
      <c r="R12" s="39">
        <f>IF(tblOrders[[#This Row],[Released]]="","",IF(OR(tblOrders[[#This Row],[Shipped]]="",tblOrders[[#This Row],[Order value]]&lt;=0),"",(tblOrders[[#This Row],[Order value]]-tblOrders[[#This Row],[Actual cost]])/tblOrders[[#This Row],[Order value]]))</f>
        <v>0.346632653061225</v>
      </c>
      <c r="S12" s="40">
        <f>IF(tblOrders[[#This Row],[Released]]="","",IF(tblOrders[[#This Row],[Est hours]]&gt;0,tblOrders[[#This Row],[Actual hours]]/tblOrders[[#This Row],[Est hours]],""))</f>
        <v>0.972727272727273</v>
      </c>
      <c r="T12" s="38">
        <f>IF(tblOrders[[#This Row],[Released]]="","",MAX(0,IF(tblOrders[[#This Row],[Shipped]]="",AsOf,tblOrders[[#This Row],[Shipped]])-tblOrders[[#This Row],[Due]]))</f>
        <v>0</v>
      </c>
      <c r="U12" s="38">
        <f>IF(tblOrders[[#This Row],[Released]]="","",IF(tblOrders[[#This Row],[Shipped]]="","",tblOrders[[#This Row],[Shipped]]-tblOrders[[#This Row],[Released]]))</f>
        <v>14</v>
      </c>
      <c r="V12" s="41" t="str">
        <f>IF(tblOrders[[#This Row],[Released]]="","",IF(tblOrders[[#This Row],[Shipped]]&lt;&gt;"","Complete",IF(tblOrders[[#This Row],[Due]]="","",IF(tblOrders[[#This Row],[Due]]&lt;AsOf,"Overdue",IF(tblOrders[[#This Row],[Due]]-AsOf&lt;=DueSoonDays,"Due soon","In progress")))))</f>
        <v>Complete</v>
      </c>
      <c r="W12" s="41" t="str">
        <f>IF(tblOrders[[#This Row],[Released]]="","",IF(OR(tblOrders[[#This Row],[Shipped]]="",tblOrders[[#This Row],[Due]]=""),"",IF(tblOrders[[#This Row],[Shipped]]&lt;=tblOrders[[#This Row],[Due]],"Yes","No")))</f>
        <v>Yes</v>
      </c>
      <c r="X12" s="42">
        <f>IF(tblOrders[[#This Row],[Released]]="","",IF(AND(tblOrders[[#This Row],[Shipped]]&lt;&gt;"",tblOrders[[#This Row],[Shipped]]&gt;=FFrom,tblOrders[[#This Row],[Shipped]]&lt;=FTo,OR(DashCustomer="",tblOrders[[#This Row],[Customer]]=DashCustomer)),tblOrders[[#This Row],[Shipped]],""))</f>
        <v>46224</v>
      </c>
      <c r="Y12" s="42">
        <f>IF(tblOrders[[#This Row],[Released]]="","",IF(AND(tblOrders[[#This Row],[Shipped]]="",OR(DashCustomer="",tblOrders[[#This Row],[Customer]]=DashCustomer)),tblOrders[[#This Row],[Released]],""))</f>
        <v/>
      </c>
      <c r="Z12"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3" spans="1:26">
      <c r="B13" s="28" t="s">
        <v>155</v>
      </c>
      <c r="C13" s="28" t="s">
        <v>95</v>
      </c>
      <c r="D13" s="28" t="s">
        <v>156</v>
      </c>
      <c r="E13" s="31">
        <v>5</v>
      </c>
      <c r="F13" s="30">
        <v>46212</v>
      </c>
      <c r="G13" s="30">
        <v>46232</v>
      </c>
      <c r="H13" s="30">
        <v>46232</v>
      </c>
      <c r="I13" s="28"/>
      <c r="J13" s="29">
        <v>2210</v>
      </c>
      <c r="K13" s="37">
        <v>14.5</v>
      </c>
      <c r="L13" s="29">
        <v>15.5</v>
      </c>
      <c r="M13" s="29">
        <v>275</v>
      </c>
      <c r="N13" s="29">
        <v>285</v>
      </c>
      <c r="O13" s="38">
        <f>IF(tblOrders[[#This Row],[Released]]="","",tblOrders[[#This Row],[Est hours]]*EstRate+tblOrders[[#This Row],[Est material]])</f>
        <v>1652.5</v>
      </c>
      <c r="P13" s="38">
        <f>IF(tblOrders[[#This Row],[Released]]="","",tblOrders[[#This Row],[Actual hours]]*CostRate+tblOrders[[#This Row],[Actual material]])</f>
        <v>1804</v>
      </c>
      <c r="Q13" s="38">
        <f>IF(tblOrders[[#This Row],[Released]]="","",IF(tblOrders[[#This Row],[Shipped]]="","",tblOrders[[#This Row],[Actual cost]]-tblOrders[[#This Row],[Est cost]]))</f>
        <v>151.5</v>
      </c>
      <c r="R13" s="39">
        <f>IF(tblOrders[[#This Row],[Released]]="","",IF(OR(tblOrders[[#This Row],[Shipped]]="",tblOrders[[#This Row],[Order value]]&lt;=0),"",(tblOrders[[#This Row],[Order value]]-tblOrders[[#This Row],[Actual cost]])/tblOrders[[#This Row],[Order value]]))</f>
        <v>0.183710407239819</v>
      </c>
      <c r="S13" s="40">
        <f>IF(tblOrders[[#This Row],[Released]]="","",IF(tblOrders[[#This Row],[Est hours]]&gt;0,tblOrders[[#This Row],[Actual hours]]/tblOrders[[#This Row],[Est hours]],""))</f>
        <v>1.06896551724138</v>
      </c>
      <c r="T13" s="38">
        <f>IF(tblOrders[[#This Row],[Released]]="","",MAX(0,IF(tblOrders[[#This Row],[Shipped]]="",AsOf,tblOrders[[#This Row],[Shipped]])-tblOrders[[#This Row],[Due]]))</f>
        <v>0</v>
      </c>
      <c r="U13" s="38">
        <f>IF(tblOrders[[#This Row],[Released]]="","",IF(tblOrders[[#This Row],[Shipped]]="","",tblOrders[[#This Row],[Shipped]]-tblOrders[[#This Row],[Released]]))</f>
        <v>20</v>
      </c>
      <c r="V13" s="41" t="str">
        <f>IF(tblOrders[[#This Row],[Released]]="","",IF(tblOrders[[#This Row],[Shipped]]&lt;&gt;"","Complete",IF(tblOrders[[#This Row],[Due]]="","",IF(tblOrders[[#This Row],[Due]]&lt;AsOf,"Overdue",IF(tblOrders[[#This Row],[Due]]-AsOf&lt;=DueSoonDays,"Due soon","In progress")))))</f>
        <v>Complete</v>
      </c>
      <c r="W13" s="41" t="str">
        <f>IF(tblOrders[[#This Row],[Released]]="","",IF(OR(tblOrders[[#This Row],[Shipped]]="",tblOrders[[#This Row],[Due]]=""),"",IF(tblOrders[[#This Row],[Shipped]]&lt;=tblOrders[[#This Row],[Due]],"Yes","No")))</f>
        <v>Yes</v>
      </c>
      <c r="X13" s="42">
        <f>IF(tblOrders[[#This Row],[Released]]="","",IF(AND(tblOrders[[#This Row],[Shipped]]&lt;&gt;"",tblOrders[[#This Row],[Shipped]]&gt;=FFrom,tblOrders[[#This Row],[Shipped]]&lt;=FTo,OR(DashCustomer="",tblOrders[[#This Row],[Customer]]=DashCustomer)),tblOrders[[#This Row],[Shipped]],""))</f>
        <v>46232</v>
      </c>
      <c r="Y13" s="42">
        <f>IF(tblOrders[[#This Row],[Released]]="","",IF(AND(tblOrders[[#This Row],[Shipped]]="",OR(DashCustomer="",tblOrders[[#This Row],[Customer]]=DashCustomer)),tblOrders[[#This Row],[Released]],""))</f>
        <v/>
      </c>
      <c r="Z13"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4" spans="1:26">
      <c r="B14" s="28" t="s">
        <v>157</v>
      </c>
      <c r="C14" s="28" t="s">
        <v>95</v>
      </c>
      <c r="D14" s="28" t="s">
        <v>158</v>
      </c>
      <c r="E14" s="31">
        <v>5</v>
      </c>
      <c r="F14" s="30">
        <v>46213</v>
      </c>
      <c r="G14" s="30">
        <v>46230</v>
      </c>
      <c r="H14" s="30">
        <v>46230</v>
      </c>
      <c r="I14" s="28"/>
      <c r="J14" s="29">
        <v>5060</v>
      </c>
      <c r="K14" s="37">
        <v>29.5</v>
      </c>
      <c r="L14" s="29">
        <v>32.75</v>
      </c>
      <c r="M14" s="29">
        <v>600</v>
      </c>
      <c r="N14" s="29">
        <v>610</v>
      </c>
      <c r="O14" s="38">
        <f>IF(tblOrders[[#This Row],[Released]]="","",tblOrders[[#This Row],[Est hours]]*EstRate+tblOrders[[#This Row],[Est material]])</f>
        <v>3402.5</v>
      </c>
      <c r="P14" s="38">
        <f>IF(tblOrders[[#This Row],[Released]]="","",tblOrders[[#This Row],[Actual hours]]*CostRate+tblOrders[[#This Row],[Actual material]])</f>
        <v>3819.5</v>
      </c>
      <c r="Q14" s="38">
        <f>IF(tblOrders[[#This Row],[Released]]="","",IF(tblOrders[[#This Row],[Shipped]]="","",tblOrders[[#This Row],[Actual cost]]-tblOrders[[#This Row],[Est cost]]))</f>
        <v>417</v>
      </c>
      <c r="R14" s="39">
        <f>IF(tblOrders[[#This Row],[Released]]="","",IF(OR(tblOrders[[#This Row],[Shipped]]="",tblOrders[[#This Row],[Order value]]&lt;=0),"",(tblOrders[[#This Row],[Order value]]-tblOrders[[#This Row],[Actual cost]])/tblOrders[[#This Row],[Order value]]))</f>
        <v>0.245158102766798</v>
      </c>
      <c r="S14" s="40">
        <f>IF(tblOrders[[#This Row],[Released]]="","",IF(tblOrders[[#This Row],[Est hours]]&gt;0,tblOrders[[#This Row],[Actual hours]]/tblOrders[[#This Row],[Est hours]],""))</f>
        <v>1.11016949152542</v>
      </c>
      <c r="T14" s="38">
        <f>IF(tblOrders[[#This Row],[Released]]="","",MAX(0,IF(tblOrders[[#This Row],[Shipped]]="",AsOf,tblOrders[[#This Row],[Shipped]])-tblOrders[[#This Row],[Due]]))</f>
        <v>0</v>
      </c>
      <c r="U14" s="38">
        <f>IF(tblOrders[[#This Row],[Released]]="","",IF(tblOrders[[#This Row],[Shipped]]="","",tblOrders[[#This Row],[Shipped]]-tblOrders[[#This Row],[Released]]))</f>
        <v>17</v>
      </c>
      <c r="V14" s="41" t="str">
        <f>IF(tblOrders[[#This Row],[Released]]="","",IF(tblOrders[[#This Row],[Shipped]]&lt;&gt;"","Complete",IF(tblOrders[[#This Row],[Due]]="","",IF(tblOrders[[#This Row],[Due]]&lt;AsOf,"Overdue",IF(tblOrders[[#This Row],[Due]]-AsOf&lt;=DueSoonDays,"Due soon","In progress")))))</f>
        <v>Complete</v>
      </c>
      <c r="W14" s="41" t="str">
        <f>IF(tblOrders[[#This Row],[Released]]="","",IF(OR(tblOrders[[#This Row],[Shipped]]="",tblOrders[[#This Row],[Due]]=""),"",IF(tblOrders[[#This Row],[Shipped]]&lt;=tblOrders[[#This Row],[Due]],"Yes","No")))</f>
        <v>Yes</v>
      </c>
      <c r="X14" s="42">
        <f>IF(tblOrders[[#This Row],[Released]]="","",IF(AND(tblOrders[[#This Row],[Shipped]]&lt;&gt;"",tblOrders[[#This Row],[Shipped]]&gt;=FFrom,tblOrders[[#This Row],[Shipped]]&lt;=FTo,OR(DashCustomer="",tblOrders[[#This Row],[Customer]]=DashCustomer)),tblOrders[[#This Row],[Shipped]],""))</f>
        <v>46230</v>
      </c>
      <c r="Y14" s="42">
        <f>IF(tblOrders[[#This Row],[Released]]="","",IF(AND(tblOrders[[#This Row],[Shipped]]="",OR(DashCustomer="",tblOrders[[#This Row],[Customer]]=DashCustomer)),tblOrders[[#This Row],[Released]],""))</f>
        <v/>
      </c>
      <c r="Z14"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5" spans="1:26">
      <c r="B15" s="28" t="s">
        <v>159</v>
      </c>
      <c r="C15" s="28" t="s">
        <v>92</v>
      </c>
      <c r="D15" s="28" t="s">
        <v>160</v>
      </c>
      <c r="E15" s="31">
        <v>100</v>
      </c>
      <c r="F15" s="30">
        <v>46216</v>
      </c>
      <c r="G15" s="30">
        <v>46226</v>
      </c>
      <c r="H15" s="30">
        <v>46226</v>
      </c>
      <c r="I15" s="28"/>
      <c r="J15" s="29">
        <v>1380</v>
      </c>
      <c r="K15" s="37">
        <v>10</v>
      </c>
      <c r="L15" s="29">
        <v>8.75</v>
      </c>
      <c r="M15" s="29">
        <v>65</v>
      </c>
      <c r="N15" s="29">
        <v>70</v>
      </c>
      <c r="O15" s="38">
        <f>IF(tblOrders[[#This Row],[Released]]="","",tblOrders[[#This Row],[Est hours]]*EstRate+tblOrders[[#This Row],[Est material]])</f>
        <v>1015</v>
      </c>
      <c r="P15" s="38">
        <f>IF(tblOrders[[#This Row],[Released]]="","",tblOrders[[#This Row],[Actual hours]]*CostRate+tblOrders[[#This Row],[Actual material]])</f>
        <v>927.5</v>
      </c>
      <c r="Q15" s="38">
        <f>IF(tblOrders[[#This Row],[Released]]="","",IF(tblOrders[[#This Row],[Shipped]]="","",tblOrders[[#This Row],[Actual cost]]-tblOrders[[#This Row],[Est cost]]))</f>
        <v>-87.5</v>
      </c>
      <c r="R15" s="39">
        <f>IF(tblOrders[[#This Row],[Released]]="","",IF(OR(tblOrders[[#This Row],[Shipped]]="",tblOrders[[#This Row],[Order value]]&lt;=0),"",(tblOrders[[#This Row],[Order value]]-tblOrders[[#This Row],[Actual cost]])/tblOrders[[#This Row],[Order value]]))</f>
        <v>0.327898550724638</v>
      </c>
      <c r="S15" s="40">
        <f>IF(tblOrders[[#This Row],[Released]]="","",IF(tblOrders[[#This Row],[Est hours]]&gt;0,tblOrders[[#This Row],[Actual hours]]/tblOrders[[#This Row],[Est hours]],""))</f>
        <v>0.875</v>
      </c>
      <c r="T15" s="38">
        <f>IF(tblOrders[[#This Row],[Released]]="","",MAX(0,IF(tblOrders[[#This Row],[Shipped]]="",AsOf,tblOrders[[#This Row],[Shipped]])-tblOrders[[#This Row],[Due]]))</f>
        <v>0</v>
      </c>
      <c r="U15" s="38">
        <f>IF(tblOrders[[#This Row],[Released]]="","",IF(tblOrders[[#This Row],[Shipped]]="","",tblOrders[[#This Row],[Shipped]]-tblOrders[[#This Row],[Released]]))</f>
        <v>10</v>
      </c>
      <c r="V15" s="41" t="str">
        <f>IF(tblOrders[[#This Row],[Released]]="","",IF(tblOrders[[#This Row],[Shipped]]&lt;&gt;"","Complete",IF(tblOrders[[#This Row],[Due]]="","",IF(tblOrders[[#This Row],[Due]]&lt;AsOf,"Overdue",IF(tblOrders[[#This Row],[Due]]-AsOf&lt;=DueSoonDays,"Due soon","In progress")))))</f>
        <v>Complete</v>
      </c>
      <c r="W15" s="41" t="str">
        <f>IF(tblOrders[[#This Row],[Released]]="","",IF(OR(tblOrders[[#This Row],[Shipped]]="",tblOrders[[#This Row],[Due]]=""),"",IF(tblOrders[[#This Row],[Shipped]]&lt;=tblOrders[[#This Row],[Due]],"Yes","No")))</f>
        <v>Yes</v>
      </c>
      <c r="X15" s="42">
        <f>IF(tblOrders[[#This Row],[Released]]="","",IF(AND(tblOrders[[#This Row],[Shipped]]&lt;&gt;"",tblOrders[[#This Row],[Shipped]]&gt;=FFrom,tblOrders[[#This Row],[Shipped]]&lt;=FTo,OR(DashCustomer="",tblOrders[[#This Row],[Customer]]=DashCustomer)),tblOrders[[#This Row],[Shipped]],""))</f>
        <v>46226</v>
      </c>
      <c r="Y15" s="42">
        <f>IF(tblOrders[[#This Row],[Released]]="","",IF(AND(tblOrders[[#This Row],[Shipped]]="",OR(DashCustomer="",tblOrders[[#This Row],[Customer]]=DashCustomer)),tblOrders[[#This Row],[Released]],""))</f>
        <v/>
      </c>
      <c r="Z15"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6" spans="1:26">
      <c r="B16" s="28" t="s">
        <v>161</v>
      </c>
      <c r="C16" s="28" t="s">
        <v>86</v>
      </c>
      <c r="D16" s="28" t="s">
        <v>162</v>
      </c>
      <c r="E16" s="31">
        <v>25</v>
      </c>
      <c r="F16" s="30">
        <v>46216</v>
      </c>
      <c r="G16" s="30">
        <v>46234</v>
      </c>
      <c r="H16" s="30">
        <v>46233</v>
      </c>
      <c r="I16" s="28"/>
      <c r="J16" s="29">
        <v>3290</v>
      </c>
      <c r="K16" s="37">
        <v>23</v>
      </c>
      <c r="L16" s="29">
        <v>20</v>
      </c>
      <c r="M16" s="29">
        <v>210</v>
      </c>
      <c r="N16" s="29">
        <v>220</v>
      </c>
      <c r="O16" s="38">
        <f>IF(tblOrders[[#This Row],[Released]]="","",tblOrders[[#This Row],[Est hours]]*EstRate+tblOrders[[#This Row],[Est material]])</f>
        <v>2395</v>
      </c>
      <c r="P16" s="38">
        <f>IF(tblOrders[[#This Row],[Released]]="","",tblOrders[[#This Row],[Actual hours]]*CostRate+tblOrders[[#This Row],[Actual material]])</f>
        <v>2180</v>
      </c>
      <c r="Q16" s="38">
        <f>IF(tblOrders[[#This Row],[Released]]="","",IF(tblOrders[[#This Row],[Shipped]]="","",tblOrders[[#This Row],[Actual cost]]-tblOrders[[#This Row],[Est cost]]))</f>
        <v>-215</v>
      </c>
      <c r="R16" s="39">
        <f>IF(tblOrders[[#This Row],[Released]]="","",IF(OR(tblOrders[[#This Row],[Shipped]]="",tblOrders[[#This Row],[Order value]]&lt;=0),"",(tblOrders[[#This Row],[Order value]]-tblOrders[[#This Row],[Actual cost]])/tblOrders[[#This Row],[Order value]]))</f>
        <v>0.337386018237082</v>
      </c>
      <c r="S16" s="40">
        <f>IF(tblOrders[[#This Row],[Released]]="","",IF(tblOrders[[#This Row],[Est hours]]&gt;0,tblOrders[[#This Row],[Actual hours]]/tblOrders[[#This Row],[Est hours]],""))</f>
        <v>0.869565217391304</v>
      </c>
      <c r="T16" s="38">
        <f>IF(tblOrders[[#This Row],[Released]]="","",MAX(0,IF(tblOrders[[#This Row],[Shipped]]="",AsOf,tblOrders[[#This Row],[Shipped]])-tblOrders[[#This Row],[Due]]))</f>
        <v>0</v>
      </c>
      <c r="U16" s="38">
        <f>IF(tblOrders[[#This Row],[Released]]="","",IF(tblOrders[[#This Row],[Shipped]]="","",tblOrders[[#This Row],[Shipped]]-tblOrders[[#This Row],[Released]]))</f>
        <v>17</v>
      </c>
      <c r="V16" s="41" t="str">
        <f>IF(tblOrders[[#This Row],[Released]]="","",IF(tblOrders[[#This Row],[Shipped]]&lt;&gt;"","Complete",IF(tblOrders[[#This Row],[Due]]="","",IF(tblOrders[[#This Row],[Due]]&lt;AsOf,"Overdue",IF(tblOrders[[#This Row],[Due]]-AsOf&lt;=DueSoonDays,"Due soon","In progress")))))</f>
        <v>Complete</v>
      </c>
      <c r="W16" s="41" t="str">
        <f>IF(tblOrders[[#This Row],[Released]]="","",IF(OR(tblOrders[[#This Row],[Shipped]]="",tblOrders[[#This Row],[Due]]=""),"",IF(tblOrders[[#This Row],[Shipped]]&lt;=tblOrders[[#This Row],[Due]],"Yes","No")))</f>
        <v>Yes</v>
      </c>
      <c r="X16" s="42">
        <f>IF(tblOrders[[#This Row],[Released]]="","",IF(AND(tblOrders[[#This Row],[Shipped]]&lt;&gt;"",tblOrders[[#This Row],[Shipped]]&gt;=FFrom,tblOrders[[#This Row],[Shipped]]&lt;=FTo,OR(DashCustomer="",tblOrders[[#This Row],[Customer]]=DashCustomer)),tblOrders[[#This Row],[Shipped]],""))</f>
        <v>46233</v>
      </c>
      <c r="Y16" s="42">
        <f>IF(tblOrders[[#This Row],[Released]]="","",IF(AND(tblOrders[[#This Row],[Shipped]]="",OR(DashCustomer="",tblOrders[[#This Row],[Customer]]=DashCustomer)),tblOrders[[#This Row],[Released]],""))</f>
        <v/>
      </c>
      <c r="Z16"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7" spans="2:26">
      <c r="B17" s="28" t="s">
        <v>163</v>
      </c>
      <c r="C17" s="28" t="s">
        <v>86</v>
      </c>
      <c r="D17" s="28" t="s">
        <v>164</v>
      </c>
      <c r="E17" s="31">
        <v>100</v>
      </c>
      <c r="F17" s="30">
        <v>46217</v>
      </c>
      <c r="G17" s="30">
        <v>46231</v>
      </c>
      <c r="H17" s="30">
        <v>46230</v>
      </c>
      <c r="I17" s="28"/>
      <c r="J17" s="29">
        <v>2350</v>
      </c>
      <c r="K17" s="37">
        <v>17.5</v>
      </c>
      <c r="L17" s="29">
        <v>15.5</v>
      </c>
      <c r="M17" s="29">
        <v>100</v>
      </c>
      <c r="N17" s="29">
        <v>110</v>
      </c>
      <c r="O17" s="38">
        <f>IF(tblOrders[[#This Row],[Released]]="","",tblOrders[[#This Row],[Est hours]]*EstRate+tblOrders[[#This Row],[Est material]])</f>
        <v>1762.5</v>
      </c>
      <c r="P17" s="38">
        <f>IF(tblOrders[[#This Row],[Released]]="","",tblOrders[[#This Row],[Actual hours]]*CostRate+tblOrders[[#This Row],[Actual material]])</f>
        <v>1629</v>
      </c>
      <c r="Q17" s="38">
        <f>IF(tblOrders[[#This Row],[Released]]="","",IF(tblOrders[[#This Row],[Shipped]]="","",tblOrders[[#This Row],[Actual cost]]-tblOrders[[#This Row],[Est cost]]))</f>
        <v>-133.5</v>
      </c>
      <c r="R17" s="39">
        <f>IF(tblOrders[[#This Row],[Released]]="","",IF(OR(tblOrders[[#This Row],[Shipped]]="",tblOrders[[#This Row],[Order value]]&lt;=0),"",(tblOrders[[#This Row],[Order value]]-tblOrders[[#This Row],[Actual cost]])/tblOrders[[#This Row],[Order value]]))</f>
        <v>0.306808510638298</v>
      </c>
      <c r="S17" s="40">
        <f>IF(tblOrders[[#This Row],[Released]]="","",IF(tblOrders[[#This Row],[Est hours]]&gt;0,tblOrders[[#This Row],[Actual hours]]/tblOrders[[#This Row],[Est hours]],""))</f>
        <v>0.885714285714286</v>
      </c>
      <c r="T17" s="38">
        <f>IF(tblOrders[[#This Row],[Released]]="","",MAX(0,IF(tblOrders[[#This Row],[Shipped]]="",AsOf,tblOrders[[#This Row],[Shipped]])-tblOrders[[#This Row],[Due]]))</f>
        <v>0</v>
      </c>
      <c r="U17" s="38">
        <f>IF(tblOrders[[#This Row],[Released]]="","",IF(tblOrders[[#This Row],[Shipped]]="","",tblOrders[[#This Row],[Shipped]]-tblOrders[[#This Row],[Released]]))</f>
        <v>13</v>
      </c>
      <c r="V17" s="41" t="str">
        <f>IF(tblOrders[[#This Row],[Released]]="","",IF(tblOrders[[#This Row],[Shipped]]&lt;&gt;"","Complete",IF(tblOrders[[#This Row],[Due]]="","",IF(tblOrders[[#This Row],[Due]]&lt;AsOf,"Overdue",IF(tblOrders[[#This Row],[Due]]-AsOf&lt;=DueSoonDays,"Due soon","In progress")))))</f>
        <v>Complete</v>
      </c>
      <c r="W17" s="41" t="str">
        <f>IF(tblOrders[[#This Row],[Released]]="","",IF(OR(tblOrders[[#This Row],[Shipped]]="",tblOrders[[#This Row],[Due]]=""),"",IF(tblOrders[[#This Row],[Shipped]]&lt;=tblOrders[[#This Row],[Due]],"Yes","No")))</f>
        <v>Yes</v>
      </c>
      <c r="X17" s="42">
        <f>IF(tblOrders[[#This Row],[Released]]="","",IF(AND(tblOrders[[#This Row],[Shipped]]&lt;&gt;"",tblOrders[[#This Row],[Shipped]]&gt;=FFrom,tblOrders[[#This Row],[Shipped]]&lt;=FTo,OR(DashCustomer="",tblOrders[[#This Row],[Customer]]=DashCustomer)),tblOrders[[#This Row],[Shipped]],""))</f>
        <v>46230</v>
      </c>
      <c r="Y17" s="42">
        <f>IF(tblOrders[[#This Row],[Released]]="","",IF(AND(tblOrders[[#This Row],[Shipped]]="",OR(DashCustomer="",tblOrders[[#This Row],[Customer]]=DashCustomer)),tblOrders[[#This Row],[Released]],""))</f>
        <v/>
      </c>
      <c r="Z1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8" spans="2:26">
      <c r="B18" s="28" t="s">
        <v>165</v>
      </c>
      <c r="C18" s="28" t="s">
        <v>83</v>
      </c>
      <c r="D18" s="28" t="s">
        <v>166</v>
      </c>
      <c r="E18" s="31">
        <v>40</v>
      </c>
      <c r="F18" s="30">
        <v>46218</v>
      </c>
      <c r="G18" s="30">
        <v>46251</v>
      </c>
      <c r="H18" s="30">
        <v>46267</v>
      </c>
      <c r="I18" s="28"/>
      <c r="J18" s="29">
        <v>8270</v>
      </c>
      <c r="K18" s="37">
        <v>46</v>
      </c>
      <c r="L18" s="29">
        <v>54.5</v>
      </c>
      <c r="M18" s="29">
        <v>1010</v>
      </c>
      <c r="N18" s="29">
        <v>1030</v>
      </c>
      <c r="O18" s="38">
        <f>IF(tblOrders[[#This Row],[Released]]="","",tblOrders[[#This Row],[Est hours]]*EstRate+tblOrders[[#This Row],[Est material]])</f>
        <v>5380</v>
      </c>
      <c r="P18" s="38">
        <f>IF(tblOrders[[#This Row],[Released]]="","",tblOrders[[#This Row],[Actual hours]]*CostRate+tblOrders[[#This Row],[Actual material]])</f>
        <v>6371</v>
      </c>
      <c r="Q18" s="38">
        <f>IF(tblOrders[[#This Row],[Released]]="","",IF(tblOrders[[#This Row],[Shipped]]="","",tblOrders[[#This Row],[Actual cost]]-tblOrders[[#This Row],[Est cost]]))</f>
        <v>991</v>
      </c>
      <c r="R18" s="39">
        <f>IF(tblOrders[[#This Row],[Released]]="","",IF(OR(tblOrders[[#This Row],[Shipped]]="",tblOrders[[#This Row],[Order value]]&lt;=0),"",(tblOrders[[#This Row],[Order value]]-tblOrders[[#This Row],[Actual cost]])/tblOrders[[#This Row],[Order value]]))</f>
        <v>0.22962515114873</v>
      </c>
      <c r="S18" s="40">
        <f>IF(tblOrders[[#This Row],[Released]]="","",IF(tblOrders[[#This Row],[Est hours]]&gt;0,tblOrders[[#This Row],[Actual hours]]/tblOrders[[#This Row],[Est hours]],""))</f>
        <v>1.18478260869565</v>
      </c>
      <c r="T18" s="38">
        <f>IF(tblOrders[[#This Row],[Released]]="","",MAX(0,IF(tblOrders[[#This Row],[Shipped]]="",AsOf,tblOrders[[#This Row],[Shipped]])-tblOrders[[#This Row],[Due]]))</f>
        <v>16</v>
      </c>
      <c r="U18" s="38">
        <f>IF(tblOrders[[#This Row],[Released]]="","",IF(tblOrders[[#This Row],[Shipped]]="","",tblOrders[[#This Row],[Shipped]]-tblOrders[[#This Row],[Released]]))</f>
        <v>49</v>
      </c>
      <c r="V18" s="41" t="str">
        <f>IF(tblOrders[[#This Row],[Released]]="","",IF(tblOrders[[#This Row],[Shipped]]&lt;&gt;"","Complete",IF(tblOrders[[#This Row],[Due]]="","",IF(tblOrders[[#This Row],[Due]]&lt;AsOf,"Overdue",IF(tblOrders[[#This Row],[Due]]-AsOf&lt;=DueSoonDays,"Due soon","In progress")))))</f>
        <v>Complete</v>
      </c>
      <c r="W18" s="41" t="str">
        <f>IF(tblOrders[[#This Row],[Released]]="","",IF(OR(tblOrders[[#This Row],[Shipped]]="",tblOrders[[#This Row],[Due]]=""),"",IF(tblOrders[[#This Row],[Shipped]]&lt;=tblOrders[[#This Row],[Due]],"Yes","No")))</f>
        <v>No</v>
      </c>
      <c r="X18" s="42">
        <f>IF(tblOrders[[#This Row],[Released]]="","",IF(AND(tblOrders[[#This Row],[Shipped]]&lt;&gt;"",tblOrders[[#This Row],[Shipped]]&gt;=FFrom,tblOrders[[#This Row],[Shipped]]&lt;=FTo,OR(DashCustomer="",tblOrders[[#This Row],[Customer]]=DashCustomer)),tblOrders[[#This Row],[Shipped]],""))</f>
        <v>46267</v>
      </c>
      <c r="Y18" s="42">
        <f>IF(tblOrders[[#This Row],[Released]]="","",IF(AND(tblOrders[[#This Row],[Shipped]]="",OR(DashCustomer="",tblOrders[[#This Row],[Customer]]=DashCustomer)),tblOrders[[#This Row],[Released]],""))</f>
        <v/>
      </c>
      <c r="Z1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19" spans="2:26">
      <c r="B19" s="28" t="s">
        <v>167</v>
      </c>
      <c r="C19" s="28" t="s">
        <v>98</v>
      </c>
      <c r="D19" s="28" t="s">
        <v>168</v>
      </c>
      <c r="E19" s="31">
        <v>20</v>
      </c>
      <c r="F19" s="30">
        <v>46220</v>
      </c>
      <c r="G19" s="30">
        <v>46233</v>
      </c>
      <c r="H19" s="30">
        <v>46232</v>
      </c>
      <c r="I19" s="28"/>
      <c r="J19" s="29">
        <v>3760</v>
      </c>
      <c r="K19" s="37">
        <v>23.5</v>
      </c>
      <c r="L19" s="29">
        <v>30</v>
      </c>
      <c r="M19" s="29">
        <v>290</v>
      </c>
      <c r="N19" s="29">
        <v>305</v>
      </c>
      <c r="O19" s="38">
        <f>IF(tblOrders[[#This Row],[Released]]="","",tblOrders[[#This Row],[Est hours]]*EstRate+tblOrders[[#This Row],[Est material]])</f>
        <v>2522.5</v>
      </c>
      <c r="P19" s="38">
        <f>IF(tblOrders[[#This Row],[Released]]="","",tblOrders[[#This Row],[Actual hours]]*CostRate+tblOrders[[#This Row],[Actual material]])</f>
        <v>3245</v>
      </c>
      <c r="Q19" s="38">
        <f>IF(tblOrders[[#This Row],[Released]]="","",IF(tblOrders[[#This Row],[Shipped]]="","",tblOrders[[#This Row],[Actual cost]]-tblOrders[[#This Row],[Est cost]]))</f>
        <v>722.5</v>
      </c>
      <c r="R19" s="39">
        <f>IF(tblOrders[[#This Row],[Released]]="","",IF(OR(tblOrders[[#This Row],[Shipped]]="",tblOrders[[#This Row],[Order value]]&lt;=0),"",(tblOrders[[#This Row],[Order value]]-tblOrders[[#This Row],[Actual cost]])/tblOrders[[#This Row],[Order value]]))</f>
        <v>0.136968085106383</v>
      </c>
      <c r="S19" s="40">
        <f>IF(tblOrders[[#This Row],[Released]]="","",IF(tblOrders[[#This Row],[Est hours]]&gt;0,tblOrders[[#This Row],[Actual hours]]/tblOrders[[#This Row],[Est hours]],""))</f>
        <v>1.27659574468085</v>
      </c>
      <c r="T19" s="38">
        <f>IF(tblOrders[[#This Row],[Released]]="","",MAX(0,IF(tblOrders[[#This Row],[Shipped]]="",AsOf,tblOrders[[#This Row],[Shipped]])-tblOrders[[#This Row],[Due]]))</f>
        <v>0</v>
      </c>
      <c r="U19" s="38">
        <f>IF(tblOrders[[#This Row],[Released]]="","",IF(tblOrders[[#This Row],[Shipped]]="","",tblOrders[[#This Row],[Shipped]]-tblOrders[[#This Row],[Released]]))</f>
        <v>12</v>
      </c>
      <c r="V19" s="41" t="str">
        <f>IF(tblOrders[[#This Row],[Released]]="","",IF(tblOrders[[#This Row],[Shipped]]&lt;&gt;"","Complete",IF(tblOrders[[#This Row],[Due]]="","",IF(tblOrders[[#This Row],[Due]]&lt;AsOf,"Overdue",IF(tblOrders[[#This Row],[Due]]-AsOf&lt;=DueSoonDays,"Due soon","In progress")))))</f>
        <v>Complete</v>
      </c>
      <c r="W19" s="41" t="str">
        <f>IF(tblOrders[[#This Row],[Released]]="","",IF(OR(tblOrders[[#This Row],[Shipped]]="",tblOrders[[#This Row],[Due]]=""),"",IF(tblOrders[[#This Row],[Shipped]]&lt;=tblOrders[[#This Row],[Due]],"Yes","No")))</f>
        <v>Yes</v>
      </c>
      <c r="X19" s="42">
        <f>IF(tblOrders[[#This Row],[Released]]="","",IF(AND(tblOrders[[#This Row],[Shipped]]&lt;&gt;"",tblOrders[[#This Row],[Shipped]]&gt;=FFrom,tblOrders[[#This Row],[Shipped]]&lt;=FTo,OR(DashCustomer="",tblOrders[[#This Row],[Customer]]=DashCustomer)),tblOrders[[#This Row],[Shipped]],""))</f>
        <v>46232</v>
      </c>
      <c r="Y19" s="42">
        <f>IF(tblOrders[[#This Row],[Released]]="","",IF(AND(tblOrders[[#This Row],[Shipped]]="",OR(DashCustomer="",tblOrders[[#This Row],[Customer]]=DashCustomer)),tblOrders[[#This Row],[Released]],""))</f>
        <v/>
      </c>
      <c r="Z19"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0" spans="2:26">
      <c r="B20" s="28" t="s">
        <v>169</v>
      </c>
      <c r="C20" s="28" t="s">
        <v>83</v>
      </c>
      <c r="D20" s="28" t="s">
        <v>170</v>
      </c>
      <c r="E20" s="31">
        <v>40</v>
      </c>
      <c r="F20" s="30">
        <v>46223</v>
      </c>
      <c r="G20" s="30">
        <v>46255</v>
      </c>
      <c r="H20" s="30">
        <v>46255</v>
      </c>
      <c r="I20" s="28"/>
      <c r="J20" s="29">
        <v>8650</v>
      </c>
      <c r="K20" s="37">
        <v>51</v>
      </c>
      <c r="L20" s="29">
        <v>65</v>
      </c>
      <c r="M20" s="29">
        <v>1015</v>
      </c>
      <c r="N20" s="29">
        <v>1045</v>
      </c>
      <c r="O20" s="38">
        <f>IF(tblOrders[[#This Row],[Released]]="","",tblOrders[[#This Row],[Est hours]]*EstRate+tblOrders[[#This Row],[Est material]])</f>
        <v>5860</v>
      </c>
      <c r="P20" s="38">
        <f>IF(tblOrders[[#This Row],[Released]]="","",tblOrders[[#This Row],[Actual hours]]*CostRate+tblOrders[[#This Row],[Actual material]])</f>
        <v>7415</v>
      </c>
      <c r="Q20" s="38">
        <f>IF(tblOrders[[#This Row],[Released]]="","",IF(tblOrders[[#This Row],[Shipped]]="","",tblOrders[[#This Row],[Actual cost]]-tblOrders[[#This Row],[Est cost]]))</f>
        <v>1555</v>
      </c>
      <c r="R20" s="39">
        <f>IF(tblOrders[[#This Row],[Released]]="","",IF(OR(tblOrders[[#This Row],[Shipped]]="",tblOrders[[#This Row],[Order value]]&lt;=0),"",(tblOrders[[#This Row],[Order value]]-tblOrders[[#This Row],[Actual cost]])/tblOrders[[#This Row],[Order value]]))</f>
        <v>0.142774566473988</v>
      </c>
      <c r="S20" s="40">
        <f>IF(tblOrders[[#This Row],[Released]]="","",IF(tblOrders[[#This Row],[Est hours]]&gt;0,tblOrders[[#This Row],[Actual hours]]/tblOrders[[#This Row],[Est hours]],""))</f>
        <v>1.27450980392157</v>
      </c>
      <c r="T20" s="38">
        <f>IF(tblOrders[[#This Row],[Released]]="","",MAX(0,IF(tblOrders[[#This Row],[Shipped]]="",AsOf,tblOrders[[#This Row],[Shipped]])-tblOrders[[#This Row],[Due]]))</f>
        <v>0</v>
      </c>
      <c r="U20" s="38">
        <f>IF(tblOrders[[#This Row],[Released]]="","",IF(tblOrders[[#This Row],[Shipped]]="","",tblOrders[[#This Row],[Shipped]]-tblOrders[[#This Row],[Released]]))</f>
        <v>32</v>
      </c>
      <c r="V20" s="41" t="str">
        <f>IF(tblOrders[[#This Row],[Released]]="","",IF(tblOrders[[#This Row],[Shipped]]&lt;&gt;"","Complete",IF(tblOrders[[#This Row],[Due]]="","",IF(tblOrders[[#This Row],[Due]]&lt;AsOf,"Overdue",IF(tblOrders[[#This Row],[Due]]-AsOf&lt;=DueSoonDays,"Due soon","In progress")))))</f>
        <v>Complete</v>
      </c>
      <c r="W20" s="41" t="str">
        <f>IF(tblOrders[[#This Row],[Released]]="","",IF(OR(tblOrders[[#This Row],[Shipped]]="",tblOrders[[#This Row],[Due]]=""),"",IF(tblOrders[[#This Row],[Shipped]]&lt;=tblOrders[[#This Row],[Due]],"Yes","No")))</f>
        <v>Yes</v>
      </c>
      <c r="X20" s="42">
        <f>IF(tblOrders[[#This Row],[Released]]="","",IF(AND(tblOrders[[#This Row],[Shipped]]&lt;&gt;"",tblOrders[[#This Row],[Shipped]]&gt;=FFrom,tblOrders[[#This Row],[Shipped]]&lt;=FTo,OR(DashCustomer="",tblOrders[[#This Row],[Customer]]=DashCustomer)),tblOrders[[#This Row],[Shipped]],""))</f>
        <v>46255</v>
      </c>
      <c r="Y20" s="42">
        <f>IF(tblOrders[[#This Row],[Released]]="","",IF(AND(tblOrders[[#This Row],[Shipped]]="",OR(DashCustomer="",tblOrders[[#This Row],[Customer]]=DashCustomer)),tblOrders[[#This Row],[Released]],""))</f>
        <v/>
      </c>
      <c r="Z20"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1" spans="2:26">
      <c r="B21" s="28" t="s">
        <v>171</v>
      </c>
      <c r="C21" s="28" t="s">
        <v>92</v>
      </c>
      <c r="D21" s="28" t="s">
        <v>172</v>
      </c>
      <c r="E21" s="31">
        <v>4</v>
      </c>
      <c r="F21" s="30">
        <v>46223</v>
      </c>
      <c r="G21" s="30">
        <v>46230</v>
      </c>
      <c r="H21" s="30">
        <v>46230</v>
      </c>
      <c r="I21" s="28"/>
      <c r="J21" s="29">
        <v>1280</v>
      </c>
      <c r="K21" s="37">
        <v>9.5</v>
      </c>
      <c r="L21" s="29">
        <v>11.5</v>
      </c>
      <c r="M21" s="29">
        <v>50</v>
      </c>
      <c r="N21" s="29">
        <v>50</v>
      </c>
      <c r="O21" s="38">
        <f>IF(tblOrders[[#This Row],[Released]]="","",tblOrders[[#This Row],[Est hours]]*EstRate+tblOrders[[#This Row],[Est material]])</f>
        <v>952.5</v>
      </c>
      <c r="P21" s="38">
        <f>IF(tblOrders[[#This Row],[Released]]="","",tblOrders[[#This Row],[Actual hours]]*CostRate+tblOrders[[#This Row],[Actual material]])</f>
        <v>1177</v>
      </c>
      <c r="Q21" s="38">
        <f>IF(tblOrders[[#This Row],[Released]]="","",IF(tblOrders[[#This Row],[Shipped]]="","",tblOrders[[#This Row],[Actual cost]]-tblOrders[[#This Row],[Est cost]]))</f>
        <v>224.5</v>
      </c>
      <c r="R21" s="39">
        <f>IF(tblOrders[[#This Row],[Released]]="","",IF(OR(tblOrders[[#This Row],[Shipped]]="",tblOrders[[#This Row],[Order value]]&lt;=0),"",(tblOrders[[#This Row],[Order value]]-tblOrders[[#This Row],[Actual cost]])/tblOrders[[#This Row],[Order value]]))</f>
        <v>0.08046875</v>
      </c>
      <c r="S21" s="40">
        <f>IF(tblOrders[[#This Row],[Released]]="","",IF(tblOrders[[#This Row],[Est hours]]&gt;0,tblOrders[[#This Row],[Actual hours]]/tblOrders[[#This Row],[Est hours]],""))</f>
        <v>1.21052631578947</v>
      </c>
      <c r="T21" s="38">
        <f>IF(tblOrders[[#This Row],[Released]]="","",MAX(0,IF(tblOrders[[#This Row],[Shipped]]="",AsOf,tblOrders[[#This Row],[Shipped]])-tblOrders[[#This Row],[Due]]))</f>
        <v>0</v>
      </c>
      <c r="U21" s="38">
        <f>IF(tblOrders[[#This Row],[Released]]="","",IF(tblOrders[[#This Row],[Shipped]]="","",tblOrders[[#This Row],[Shipped]]-tblOrders[[#This Row],[Released]]))</f>
        <v>7</v>
      </c>
      <c r="V21" s="41" t="str">
        <f>IF(tblOrders[[#This Row],[Released]]="","",IF(tblOrders[[#This Row],[Shipped]]&lt;&gt;"","Complete",IF(tblOrders[[#This Row],[Due]]="","",IF(tblOrders[[#This Row],[Due]]&lt;AsOf,"Overdue",IF(tblOrders[[#This Row],[Due]]-AsOf&lt;=DueSoonDays,"Due soon","In progress")))))</f>
        <v>Complete</v>
      </c>
      <c r="W21" s="41" t="str">
        <f>IF(tblOrders[[#This Row],[Released]]="","",IF(OR(tblOrders[[#This Row],[Shipped]]="",tblOrders[[#This Row],[Due]]=""),"",IF(tblOrders[[#This Row],[Shipped]]&lt;=tblOrders[[#This Row],[Due]],"Yes","No")))</f>
        <v>Yes</v>
      </c>
      <c r="X21" s="42">
        <f>IF(tblOrders[[#This Row],[Released]]="","",IF(AND(tblOrders[[#This Row],[Shipped]]&lt;&gt;"",tblOrders[[#This Row],[Shipped]]&gt;=FFrom,tblOrders[[#This Row],[Shipped]]&lt;=FTo,OR(DashCustomer="",tblOrders[[#This Row],[Customer]]=DashCustomer)),tblOrders[[#This Row],[Shipped]],""))</f>
        <v>46230</v>
      </c>
      <c r="Y21" s="42">
        <f>IF(tblOrders[[#This Row],[Released]]="","",IF(AND(tblOrders[[#This Row],[Shipped]]="",OR(DashCustomer="",tblOrders[[#This Row],[Customer]]=DashCustomer)),tblOrders[[#This Row],[Released]],""))</f>
        <v/>
      </c>
      <c r="Z21"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2" spans="2:26">
      <c r="B22" s="28" t="s">
        <v>173</v>
      </c>
      <c r="C22" s="28" t="s">
        <v>92</v>
      </c>
      <c r="D22" s="28" t="s">
        <v>174</v>
      </c>
      <c r="E22" s="31">
        <v>100</v>
      </c>
      <c r="F22" s="30">
        <v>46224</v>
      </c>
      <c r="G22" s="30">
        <v>46230</v>
      </c>
      <c r="H22" s="30">
        <v>46233</v>
      </c>
      <c r="I22" s="28"/>
      <c r="J22" s="29">
        <v>1920</v>
      </c>
      <c r="K22" s="37">
        <v>12.5</v>
      </c>
      <c r="L22" s="29">
        <v>14.5</v>
      </c>
      <c r="M22" s="29">
        <v>200</v>
      </c>
      <c r="N22" s="29">
        <v>205</v>
      </c>
      <c r="O22" s="38">
        <f>IF(tblOrders[[#This Row],[Released]]="","",tblOrders[[#This Row],[Est hours]]*EstRate+tblOrders[[#This Row],[Est material]])</f>
        <v>1387.5</v>
      </c>
      <c r="P22" s="38">
        <f>IF(tblOrders[[#This Row],[Released]]="","",tblOrders[[#This Row],[Actual hours]]*CostRate+tblOrders[[#This Row],[Actual material]])</f>
        <v>1626</v>
      </c>
      <c r="Q22" s="38">
        <f>IF(tblOrders[[#This Row],[Released]]="","",IF(tblOrders[[#This Row],[Shipped]]="","",tblOrders[[#This Row],[Actual cost]]-tblOrders[[#This Row],[Est cost]]))</f>
        <v>238.5</v>
      </c>
      <c r="R22" s="39">
        <f>IF(tblOrders[[#This Row],[Released]]="","",IF(OR(tblOrders[[#This Row],[Shipped]]="",tblOrders[[#This Row],[Order value]]&lt;=0),"",(tblOrders[[#This Row],[Order value]]-tblOrders[[#This Row],[Actual cost]])/tblOrders[[#This Row],[Order value]]))</f>
        <v>0.153125</v>
      </c>
      <c r="S22" s="40">
        <f>IF(tblOrders[[#This Row],[Released]]="","",IF(tblOrders[[#This Row],[Est hours]]&gt;0,tblOrders[[#This Row],[Actual hours]]/tblOrders[[#This Row],[Est hours]],""))</f>
        <v>1.16</v>
      </c>
      <c r="T22" s="38">
        <f>IF(tblOrders[[#This Row],[Released]]="","",MAX(0,IF(tblOrders[[#This Row],[Shipped]]="",AsOf,tblOrders[[#This Row],[Shipped]])-tblOrders[[#This Row],[Due]]))</f>
        <v>3</v>
      </c>
      <c r="U22" s="38">
        <f>IF(tblOrders[[#This Row],[Released]]="","",IF(tblOrders[[#This Row],[Shipped]]="","",tblOrders[[#This Row],[Shipped]]-tblOrders[[#This Row],[Released]]))</f>
        <v>9</v>
      </c>
      <c r="V22" s="41" t="str">
        <f>IF(tblOrders[[#This Row],[Released]]="","",IF(tblOrders[[#This Row],[Shipped]]&lt;&gt;"","Complete",IF(tblOrders[[#This Row],[Due]]="","",IF(tblOrders[[#This Row],[Due]]&lt;AsOf,"Overdue",IF(tblOrders[[#This Row],[Due]]-AsOf&lt;=DueSoonDays,"Due soon","In progress")))))</f>
        <v>Complete</v>
      </c>
      <c r="W22" s="41" t="str">
        <f>IF(tblOrders[[#This Row],[Released]]="","",IF(OR(tblOrders[[#This Row],[Shipped]]="",tblOrders[[#This Row],[Due]]=""),"",IF(tblOrders[[#This Row],[Shipped]]&lt;=tblOrders[[#This Row],[Due]],"Yes","No")))</f>
        <v>No</v>
      </c>
      <c r="X22" s="42">
        <f>IF(tblOrders[[#This Row],[Released]]="","",IF(AND(tblOrders[[#This Row],[Shipped]]&lt;&gt;"",tblOrders[[#This Row],[Shipped]]&gt;=FFrom,tblOrders[[#This Row],[Shipped]]&lt;=FTo,OR(DashCustomer="",tblOrders[[#This Row],[Customer]]=DashCustomer)),tblOrders[[#This Row],[Shipped]],""))</f>
        <v>46233</v>
      </c>
      <c r="Y22" s="42">
        <f>IF(tblOrders[[#This Row],[Released]]="","",IF(AND(tblOrders[[#This Row],[Shipped]]="",OR(DashCustomer="",tblOrders[[#This Row],[Customer]]=DashCustomer)),tblOrders[[#This Row],[Released]],""))</f>
        <v/>
      </c>
      <c r="Z22"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3" spans="2:26">
      <c r="B23" s="28" t="s">
        <v>175</v>
      </c>
      <c r="C23" s="28" t="s">
        <v>95</v>
      </c>
      <c r="D23" s="28" t="s">
        <v>176</v>
      </c>
      <c r="E23" s="31">
        <v>1</v>
      </c>
      <c r="F23" s="30">
        <v>46225</v>
      </c>
      <c r="G23" s="30">
        <v>46248</v>
      </c>
      <c r="H23" s="30">
        <v>46254</v>
      </c>
      <c r="I23" s="28"/>
      <c r="J23" s="29">
        <v>1790</v>
      </c>
      <c r="K23" s="37">
        <v>12.5</v>
      </c>
      <c r="L23" s="29">
        <v>13.5</v>
      </c>
      <c r="M23" s="29">
        <v>60</v>
      </c>
      <c r="N23" s="29">
        <v>60</v>
      </c>
      <c r="O23" s="38">
        <f>IF(tblOrders[[#This Row],[Released]]="","",tblOrders[[#This Row],[Est hours]]*EstRate+tblOrders[[#This Row],[Est material]])</f>
        <v>1247.5</v>
      </c>
      <c r="P23" s="38">
        <f>IF(tblOrders[[#This Row],[Released]]="","",tblOrders[[#This Row],[Actual hours]]*CostRate+tblOrders[[#This Row],[Actual material]])</f>
        <v>1383</v>
      </c>
      <c r="Q23" s="38">
        <f>IF(tblOrders[[#This Row],[Released]]="","",IF(tblOrders[[#This Row],[Shipped]]="","",tblOrders[[#This Row],[Actual cost]]-tblOrders[[#This Row],[Est cost]]))</f>
        <v>135.5</v>
      </c>
      <c r="R23" s="39">
        <f>IF(tblOrders[[#This Row],[Released]]="","",IF(OR(tblOrders[[#This Row],[Shipped]]="",tblOrders[[#This Row],[Order value]]&lt;=0),"",(tblOrders[[#This Row],[Order value]]-tblOrders[[#This Row],[Actual cost]])/tblOrders[[#This Row],[Order value]]))</f>
        <v>0.227374301675978</v>
      </c>
      <c r="S23" s="40">
        <f>IF(tblOrders[[#This Row],[Released]]="","",IF(tblOrders[[#This Row],[Est hours]]&gt;0,tblOrders[[#This Row],[Actual hours]]/tblOrders[[#This Row],[Est hours]],""))</f>
        <v>1.08</v>
      </c>
      <c r="T23" s="38">
        <f>IF(tblOrders[[#This Row],[Released]]="","",MAX(0,IF(tblOrders[[#This Row],[Shipped]]="",AsOf,tblOrders[[#This Row],[Shipped]])-tblOrders[[#This Row],[Due]]))</f>
        <v>6</v>
      </c>
      <c r="U23" s="38">
        <f>IF(tblOrders[[#This Row],[Released]]="","",IF(tblOrders[[#This Row],[Shipped]]="","",tblOrders[[#This Row],[Shipped]]-tblOrders[[#This Row],[Released]]))</f>
        <v>29</v>
      </c>
      <c r="V23" s="41" t="str">
        <f>IF(tblOrders[[#This Row],[Released]]="","",IF(tblOrders[[#This Row],[Shipped]]&lt;&gt;"","Complete",IF(tblOrders[[#This Row],[Due]]="","",IF(tblOrders[[#This Row],[Due]]&lt;AsOf,"Overdue",IF(tblOrders[[#This Row],[Due]]-AsOf&lt;=DueSoonDays,"Due soon","In progress")))))</f>
        <v>Complete</v>
      </c>
      <c r="W23" s="41" t="str">
        <f>IF(tblOrders[[#This Row],[Released]]="","",IF(OR(tblOrders[[#This Row],[Shipped]]="",tblOrders[[#This Row],[Due]]=""),"",IF(tblOrders[[#This Row],[Shipped]]&lt;=tblOrders[[#This Row],[Due]],"Yes","No")))</f>
        <v>No</v>
      </c>
      <c r="X23" s="42">
        <f>IF(tblOrders[[#This Row],[Released]]="","",IF(AND(tblOrders[[#This Row],[Shipped]]&lt;&gt;"",tblOrders[[#This Row],[Shipped]]&gt;=FFrom,tblOrders[[#This Row],[Shipped]]&lt;=FTo,OR(DashCustomer="",tblOrders[[#This Row],[Customer]]=DashCustomer)),tblOrders[[#This Row],[Shipped]],""))</f>
        <v>46254</v>
      </c>
      <c r="Y23" s="42">
        <f>IF(tblOrders[[#This Row],[Released]]="","",IF(AND(tblOrders[[#This Row],[Shipped]]="",OR(DashCustomer="",tblOrders[[#This Row],[Customer]]=DashCustomer)),tblOrders[[#This Row],[Released]],""))</f>
        <v/>
      </c>
      <c r="Z23"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4" spans="2:26">
      <c r="B24" s="28" t="s">
        <v>177</v>
      </c>
      <c r="C24" s="28" t="s">
        <v>95</v>
      </c>
      <c r="D24" s="28" t="s">
        <v>178</v>
      </c>
      <c r="E24" s="31">
        <v>2</v>
      </c>
      <c r="F24" s="30">
        <v>46227</v>
      </c>
      <c r="G24" s="30">
        <v>46244</v>
      </c>
      <c r="H24" s="30">
        <v>46240</v>
      </c>
      <c r="I24" s="28"/>
      <c r="J24" s="29">
        <v>1320</v>
      </c>
      <c r="K24" s="37">
        <v>8.5</v>
      </c>
      <c r="L24" s="29">
        <v>7.25</v>
      </c>
      <c r="M24" s="29">
        <v>45</v>
      </c>
      <c r="N24" s="29">
        <v>45</v>
      </c>
      <c r="O24" s="38">
        <f>IF(tblOrders[[#This Row],[Released]]="","",tblOrders[[#This Row],[Est hours]]*EstRate+tblOrders[[#This Row],[Est material]])</f>
        <v>852.5</v>
      </c>
      <c r="P24" s="38">
        <f>IF(tblOrders[[#This Row],[Released]]="","",tblOrders[[#This Row],[Actual hours]]*CostRate+tblOrders[[#This Row],[Actual material]])</f>
        <v>755.5</v>
      </c>
      <c r="Q24" s="38">
        <f>IF(tblOrders[[#This Row],[Released]]="","",IF(tblOrders[[#This Row],[Shipped]]="","",tblOrders[[#This Row],[Actual cost]]-tblOrders[[#This Row],[Est cost]]))</f>
        <v>-97</v>
      </c>
      <c r="R24" s="39">
        <f>IF(tblOrders[[#This Row],[Released]]="","",IF(OR(tblOrders[[#This Row],[Shipped]]="",tblOrders[[#This Row],[Order value]]&lt;=0),"",(tblOrders[[#This Row],[Order value]]-tblOrders[[#This Row],[Actual cost]])/tblOrders[[#This Row],[Order value]]))</f>
        <v>0.427651515151515</v>
      </c>
      <c r="S24" s="40">
        <f>IF(tblOrders[[#This Row],[Released]]="","",IF(tblOrders[[#This Row],[Est hours]]&gt;0,tblOrders[[#This Row],[Actual hours]]/tblOrders[[#This Row],[Est hours]],""))</f>
        <v>0.852941176470588</v>
      </c>
      <c r="T24" s="38">
        <f>IF(tblOrders[[#This Row],[Released]]="","",MAX(0,IF(tblOrders[[#This Row],[Shipped]]="",AsOf,tblOrders[[#This Row],[Shipped]])-tblOrders[[#This Row],[Due]]))</f>
        <v>0</v>
      </c>
      <c r="U24" s="38">
        <f>IF(tblOrders[[#This Row],[Released]]="","",IF(tblOrders[[#This Row],[Shipped]]="","",tblOrders[[#This Row],[Shipped]]-tblOrders[[#This Row],[Released]]))</f>
        <v>13</v>
      </c>
      <c r="V24" s="41" t="str">
        <f>IF(tblOrders[[#This Row],[Released]]="","",IF(tblOrders[[#This Row],[Shipped]]&lt;&gt;"","Complete",IF(tblOrders[[#This Row],[Due]]="","",IF(tblOrders[[#This Row],[Due]]&lt;AsOf,"Overdue",IF(tblOrders[[#This Row],[Due]]-AsOf&lt;=DueSoonDays,"Due soon","In progress")))))</f>
        <v>Complete</v>
      </c>
      <c r="W24" s="41" t="str">
        <f>IF(tblOrders[[#This Row],[Released]]="","",IF(OR(tblOrders[[#This Row],[Shipped]]="",tblOrders[[#This Row],[Due]]=""),"",IF(tblOrders[[#This Row],[Shipped]]&lt;=tblOrders[[#This Row],[Due]],"Yes","No")))</f>
        <v>Yes</v>
      </c>
      <c r="X24" s="42">
        <f>IF(tblOrders[[#This Row],[Released]]="","",IF(AND(tblOrders[[#This Row],[Shipped]]&lt;&gt;"",tblOrders[[#This Row],[Shipped]]&gt;=FFrom,tblOrders[[#This Row],[Shipped]]&lt;=FTo,OR(DashCustomer="",tblOrders[[#This Row],[Customer]]=DashCustomer)),tblOrders[[#This Row],[Shipped]],""))</f>
        <v>46240</v>
      </c>
      <c r="Y24" s="42">
        <f>IF(tblOrders[[#This Row],[Released]]="","",IF(AND(tblOrders[[#This Row],[Shipped]]="",OR(DashCustomer="",tblOrders[[#This Row],[Customer]]=DashCustomer)),tblOrders[[#This Row],[Released]],""))</f>
        <v/>
      </c>
      <c r="Z24"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5" spans="2:26">
      <c r="B25" s="28" t="s">
        <v>179</v>
      </c>
      <c r="C25" s="28" t="s">
        <v>98</v>
      </c>
      <c r="D25" s="28" t="s">
        <v>180</v>
      </c>
      <c r="E25" s="31">
        <v>25</v>
      </c>
      <c r="F25" s="30">
        <v>46230</v>
      </c>
      <c r="G25" s="30">
        <v>46240</v>
      </c>
      <c r="H25" s="30">
        <v>46247</v>
      </c>
      <c r="I25" s="28"/>
      <c r="J25" s="29">
        <v>3410</v>
      </c>
      <c r="K25" s="37">
        <v>23.5</v>
      </c>
      <c r="L25" s="29">
        <v>23.5</v>
      </c>
      <c r="M25" s="29">
        <v>265</v>
      </c>
      <c r="N25" s="29">
        <v>265</v>
      </c>
      <c r="O25" s="38">
        <f>IF(tblOrders[[#This Row],[Released]]="","",tblOrders[[#This Row],[Est hours]]*EstRate+tblOrders[[#This Row],[Est material]])</f>
        <v>2497.5</v>
      </c>
      <c r="P25" s="38">
        <f>IF(tblOrders[[#This Row],[Released]]="","",tblOrders[[#This Row],[Actual hours]]*CostRate+tblOrders[[#This Row],[Actual material]])</f>
        <v>2568</v>
      </c>
      <c r="Q25" s="38">
        <f>IF(tblOrders[[#This Row],[Released]]="","",IF(tblOrders[[#This Row],[Shipped]]="","",tblOrders[[#This Row],[Actual cost]]-tblOrders[[#This Row],[Est cost]]))</f>
        <v>70.5</v>
      </c>
      <c r="R25" s="39">
        <f>IF(tblOrders[[#This Row],[Released]]="","",IF(OR(tblOrders[[#This Row],[Shipped]]="",tblOrders[[#This Row],[Order value]]&lt;=0),"",(tblOrders[[#This Row],[Order value]]-tblOrders[[#This Row],[Actual cost]])/tblOrders[[#This Row],[Order value]]))</f>
        <v>0.24692082111437</v>
      </c>
      <c r="S25" s="40">
        <f>IF(tblOrders[[#This Row],[Released]]="","",IF(tblOrders[[#This Row],[Est hours]]&gt;0,tblOrders[[#This Row],[Actual hours]]/tblOrders[[#This Row],[Est hours]],""))</f>
        <v>1</v>
      </c>
      <c r="T25" s="38">
        <f>IF(tblOrders[[#This Row],[Released]]="","",MAX(0,IF(tblOrders[[#This Row],[Shipped]]="",AsOf,tblOrders[[#This Row],[Shipped]])-tblOrders[[#This Row],[Due]]))</f>
        <v>7</v>
      </c>
      <c r="U25" s="38">
        <f>IF(tblOrders[[#This Row],[Released]]="","",IF(tblOrders[[#This Row],[Shipped]]="","",tblOrders[[#This Row],[Shipped]]-tblOrders[[#This Row],[Released]]))</f>
        <v>17</v>
      </c>
      <c r="V25" s="41" t="str">
        <f>IF(tblOrders[[#This Row],[Released]]="","",IF(tblOrders[[#This Row],[Shipped]]&lt;&gt;"","Complete",IF(tblOrders[[#This Row],[Due]]="","",IF(tblOrders[[#This Row],[Due]]&lt;AsOf,"Overdue",IF(tblOrders[[#This Row],[Due]]-AsOf&lt;=DueSoonDays,"Due soon","In progress")))))</f>
        <v>Complete</v>
      </c>
      <c r="W25" s="41" t="str">
        <f>IF(tblOrders[[#This Row],[Released]]="","",IF(OR(tblOrders[[#This Row],[Shipped]]="",tblOrders[[#This Row],[Due]]=""),"",IF(tblOrders[[#This Row],[Shipped]]&lt;=tblOrders[[#This Row],[Due]],"Yes","No")))</f>
        <v>No</v>
      </c>
      <c r="X25" s="42">
        <f>IF(tblOrders[[#This Row],[Released]]="","",IF(AND(tblOrders[[#This Row],[Shipped]]&lt;&gt;"",tblOrders[[#This Row],[Shipped]]&gt;=FFrom,tblOrders[[#This Row],[Shipped]]&lt;=FTo,OR(DashCustomer="",tblOrders[[#This Row],[Customer]]=DashCustomer)),tblOrders[[#This Row],[Shipped]],""))</f>
        <v>46247</v>
      </c>
      <c r="Y25" s="42">
        <f>IF(tblOrders[[#This Row],[Released]]="","",IF(AND(tblOrders[[#This Row],[Shipped]]="",OR(DashCustomer="",tblOrders[[#This Row],[Customer]]=DashCustomer)),tblOrders[[#This Row],[Released]],""))</f>
        <v/>
      </c>
      <c r="Z25"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6" spans="2:26">
      <c r="B26" s="28" t="s">
        <v>181</v>
      </c>
      <c r="C26" s="28" t="s">
        <v>86</v>
      </c>
      <c r="D26" s="28" t="s">
        <v>182</v>
      </c>
      <c r="E26" s="31">
        <v>5</v>
      </c>
      <c r="F26" s="30">
        <v>46230</v>
      </c>
      <c r="G26" s="30">
        <v>46251</v>
      </c>
      <c r="H26" s="30">
        <v>46251</v>
      </c>
      <c r="I26" s="28"/>
      <c r="J26" s="29">
        <v>1640</v>
      </c>
      <c r="K26" s="37">
        <v>10.5</v>
      </c>
      <c r="L26" s="29">
        <v>9.75</v>
      </c>
      <c r="M26" s="29">
        <v>170</v>
      </c>
      <c r="N26" s="29">
        <v>185</v>
      </c>
      <c r="O26" s="38">
        <f>IF(tblOrders[[#This Row],[Released]]="","",tblOrders[[#This Row],[Est hours]]*EstRate+tblOrders[[#This Row],[Est material]])</f>
        <v>1167.5</v>
      </c>
      <c r="P26" s="38">
        <f>IF(tblOrders[[#This Row],[Released]]="","",tblOrders[[#This Row],[Actual hours]]*CostRate+tblOrders[[#This Row],[Actual material]])</f>
        <v>1140.5</v>
      </c>
      <c r="Q26" s="38">
        <f>IF(tblOrders[[#This Row],[Released]]="","",IF(tblOrders[[#This Row],[Shipped]]="","",tblOrders[[#This Row],[Actual cost]]-tblOrders[[#This Row],[Est cost]]))</f>
        <v>-27</v>
      </c>
      <c r="R26" s="39">
        <f>IF(tblOrders[[#This Row],[Released]]="","",IF(OR(tblOrders[[#This Row],[Shipped]]="",tblOrders[[#This Row],[Order value]]&lt;=0),"",(tblOrders[[#This Row],[Order value]]-tblOrders[[#This Row],[Actual cost]])/tblOrders[[#This Row],[Order value]]))</f>
        <v>0.304573170731707</v>
      </c>
      <c r="S26" s="40">
        <f>IF(tblOrders[[#This Row],[Released]]="","",IF(tblOrders[[#This Row],[Est hours]]&gt;0,tblOrders[[#This Row],[Actual hours]]/tblOrders[[#This Row],[Est hours]],""))</f>
        <v>0.928571428571429</v>
      </c>
      <c r="T26" s="38">
        <f>IF(tblOrders[[#This Row],[Released]]="","",MAX(0,IF(tblOrders[[#This Row],[Shipped]]="",AsOf,tblOrders[[#This Row],[Shipped]])-tblOrders[[#This Row],[Due]]))</f>
        <v>0</v>
      </c>
      <c r="U26" s="38">
        <f>IF(tblOrders[[#This Row],[Released]]="","",IF(tblOrders[[#This Row],[Shipped]]="","",tblOrders[[#This Row],[Shipped]]-tblOrders[[#This Row],[Released]]))</f>
        <v>21</v>
      </c>
      <c r="V26" s="41" t="str">
        <f>IF(tblOrders[[#This Row],[Released]]="","",IF(tblOrders[[#This Row],[Shipped]]&lt;&gt;"","Complete",IF(tblOrders[[#This Row],[Due]]="","",IF(tblOrders[[#This Row],[Due]]&lt;AsOf,"Overdue",IF(tblOrders[[#This Row],[Due]]-AsOf&lt;=DueSoonDays,"Due soon","In progress")))))</f>
        <v>Complete</v>
      </c>
      <c r="W26" s="41" t="str">
        <f>IF(tblOrders[[#This Row],[Released]]="","",IF(OR(tblOrders[[#This Row],[Shipped]]="",tblOrders[[#This Row],[Due]]=""),"",IF(tblOrders[[#This Row],[Shipped]]&lt;=tblOrders[[#This Row],[Due]],"Yes","No")))</f>
        <v>Yes</v>
      </c>
      <c r="X26" s="42">
        <f>IF(tblOrders[[#This Row],[Released]]="","",IF(AND(tblOrders[[#This Row],[Shipped]]&lt;&gt;"",tblOrders[[#This Row],[Shipped]]&gt;=FFrom,tblOrders[[#This Row],[Shipped]]&lt;=FTo,OR(DashCustomer="",tblOrders[[#This Row],[Customer]]=DashCustomer)),tblOrders[[#This Row],[Shipped]],""))</f>
        <v>46251</v>
      </c>
      <c r="Y26" s="42">
        <f>IF(tblOrders[[#This Row],[Released]]="","",IF(AND(tblOrders[[#This Row],[Shipped]]="",OR(DashCustomer="",tblOrders[[#This Row],[Customer]]=DashCustomer)),tblOrders[[#This Row],[Released]],""))</f>
        <v/>
      </c>
      <c r="Z26"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7" spans="2:26">
      <c r="B27" s="28" t="s">
        <v>183</v>
      </c>
      <c r="C27" s="28" t="s">
        <v>92</v>
      </c>
      <c r="D27" s="28" t="s">
        <v>184</v>
      </c>
      <c r="E27" s="31">
        <v>4</v>
      </c>
      <c r="F27" s="30">
        <v>46231</v>
      </c>
      <c r="G27" s="30">
        <v>46241</v>
      </c>
      <c r="H27" s="30">
        <v>46237</v>
      </c>
      <c r="I27" s="28"/>
      <c r="J27" s="29">
        <v>1990</v>
      </c>
      <c r="K27" s="37">
        <v>13.5</v>
      </c>
      <c r="L27" s="29">
        <v>12.5</v>
      </c>
      <c r="M27" s="29">
        <v>210</v>
      </c>
      <c r="N27" s="29">
        <v>215</v>
      </c>
      <c r="O27" s="38">
        <f>IF(tblOrders[[#This Row],[Released]]="","",tblOrders[[#This Row],[Est hours]]*EstRate+tblOrders[[#This Row],[Est material]])</f>
        <v>1492.5</v>
      </c>
      <c r="P27" s="38">
        <f>IF(tblOrders[[#This Row],[Released]]="","",tblOrders[[#This Row],[Actual hours]]*CostRate+tblOrders[[#This Row],[Actual material]])</f>
        <v>1440</v>
      </c>
      <c r="Q27" s="38">
        <f>IF(tblOrders[[#This Row],[Released]]="","",IF(tblOrders[[#This Row],[Shipped]]="","",tblOrders[[#This Row],[Actual cost]]-tblOrders[[#This Row],[Est cost]]))</f>
        <v>-52.5</v>
      </c>
      <c r="R27" s="39">
        <f>IF(tblOrders[[#This Row],[Released]]="","",IF(OR(tblOrders[[#This Row],[Shipped]]="",tblOrders[[#This Row],[Order value]]&lt;=0),"",(tblOrders[[#This Row],[Order value]]-tblOrders[[#This Row],[Actual cost]])/tblOrders[[#This Row],[Order value]]))</f>
        <v>0.276381909547739</v>
      </c>
      <c r="S27" s="40">
        <f>IF(tblOrders[[#This Row],[Released]]="","",IF(tblOrders[[#This Row],[Est hours]]&gt;0,tblOrders[[#This Row],[Actual hours]]/tblOrders[[#This Row],[Est hours]],""))</f>
        <v>0.925925925925926</v>
      </c>
      <c r="T27" s="38">
        <f>IF(tblOrders[[#This Row],[Released]]="","",MAX(0,IF(tblOrders[[#This Row],[Shipped]]="",AsOf,tblOrders[[#This Row],[Shipped]])-tblOrders[[#This Row],[Due]]))</f>
        <v>0</v>
      </c>
      <c r="U27" s="38">
        <f>IF(tblOrders[[#This Row],[Released]]="","",IF(tblOrders[[#This Row],[Shipped]]="","",tblOrders[[#This Row],[Shipped]]-tblOrders[[#This Row],[Released]]))</f>
        <v>6</v>
      </c>
      <c r="V27" s="41" t="str">
        <f>IF(tblOrders[[#This Row],[Released]]="","",IF(tblOrders[[#This Row],[Shipped]]&lt;&gt;"","Complete",IF(tblOrders[[#This Row],[Due]]="","",IF(tblOrders[[#This Row],[Due]]&lt;AsOf,"Overdue",IF(tblOrders[[#This Row],[Due]]-AsOf&lt;=DueSoonDays,"Due soon","In progress")))))</f>
        <v>Complete</v>
      </c>
      <c r="W27" s="41" t="str">
        <f>IF(tblOrders[[#This Row],[Released]]="","",IF(OR(tblOrders[[#This Row],[Shipped]]="",tblOrders[[#This Row],[Due]]=""),"",IF(tblOrders[[#This Row],[Shipped]]&lt;=tblOrders[[#This Row],[Due]],"Yes","No")))</f>
        <v>Yes</v>
      </c>
      <c r="X27" s="42">
        <f>IF(tblOrders[[#This Row],[Released]]="","",IF(AND(tblOrders[[#This Row],[Shipped]]&lt;&gt;"",tblOrders[[#This Row],[Shipped]]&gt;=FFrom,tblOrders[[#This Row],[Shipped]]&lt;=FTo,OR(DashCustomer="",tblOrders[[#This Row],[Customer]]=DashCustomer)),tblOrders[[#This Row],[Shipped]],""))</f>
        <v>46237</v>
      </c>
      <c r="Y27" s="42">
        <f>IF(tblOrders[[#This Row],[Released]]="","",IF(AND(tblOrders[[#This Row],[Shipped]]="",OR(DashCustomer="",tblOrders[[#This Row],[Customer]]=DashCustomer)),tblOrders[[#This Row],[Released]],""))</f>
        <v/>
      </c>
      <c r="Z2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8" spans="2:26">
      <c r="B28" s="28" t="s">
        <v>185</v>
      </c>
      <c r="C28" s="28" t="s">
        <v>86</v>
      </c>
      <c r="D28" s="28" t="s">
        <v>186</v>
      </c>
      <c r="E28" s="31">
        <v>40</v>
      </c>
      <c r="F28" s="30">
        <v>46232</v>
      </c>
      <c r="G28" s="30">
        <v>46244</v>
      </c>
      <c r="H28" s="30">
        <v>46244</v>
      </c>
      <c r="I28" s="28"/>
      <c r="J28" s="29">
        <v>3720</v>
      </c>
      <c r="K28" s="37">
        <v>23.5</v>
      </c>
      <c r="L28" s="29">
        <v>19.5</v>
      </c>
      <c r="M28" s="29">
        <v>225</v>
      </c>
      <c r="N28" s="29">
        <v>245</v>
      </c>
      <c r="O28" s="38">
        <f>IF(tblOrders[[#This Row],[Released]]="","",tblOrders[[#This Row],[Est hours]]*EstRate+tblOrders[[#This Row],[Est material]])</f>
        <v>2457.5</v>
      </c>
      <c r="P28" s="38">
        <f>IF(tblOrders[[#This Row],[Released]]="","",tblOrders[[#This Row],[Actual hours]]*CostRate+tblOrders[[#This Row],[Actual material]])</f>
        <v>2156</v>
      </c>
      <c r="Q28" s="38">
        <f>IF(tblOrders[[#This Row],[Released]]="","",IF(tblOrders[[#This Row],[Shipped]]="","",tblOrders[[#This Row],[Actual cost]]-tblOrders[[#This Row],[Est cost]]))</f>
        <v>-301.5</v>
      </c>
      <c r="R28" s="39">
        <f>IF(tblOrders[[#This Row],[Released]]="","",IF(OR(tblOrders[[#This Row],[Shipped]]="",tblOrders[[#This Row],[Order value]]&lt;=0),"",(tblOrders[[#This Row],[Order value]]-tblOrders[[#This Row],[Actual cost]])/tblOrders[[#This Row],[Order value]]))</f>
        <v>0.420430107526882</v>
      </c>
      <c r="S28" s="40">
        <f>IF(tblOrders[[#This Row],[Released]]="","",IF(tblOrders[[#This Row],[Est hours]]&gt;0,tblOrders[[#This Row],[Actual hours]]/tblOrders[[#This Row],[Est hours]],""))</f>
        <v>0.829787234042553</v>
      </c>
      <c r="T28" s="38">
        <f>IF(tblOrders[[#This Row],[Released]]="","",MAX(0,IF(tblOrders[[#This Row],[Shipped]]="",AsOf,tblOrders[[#This Row],[Shipped]])-tblOrders[[#This Row],[Due]]))</f>
        <v>0</v>
      </c>
      <c r="U28" s="38">
        <f>IF(tblOrders[[#This Row],[Released]]="","",IF(tblOrders[[#This Row],[Shipped]]="","",tblOrders[[#This Row],[Shipped]]-tblOrders[[#This Row],[Released]]))</f>
        <v>12</v>
      </c>
      <c r="V28" s="41" t="str">
        <f>IF(tblOrders[[#This Row],[Released]]="","",IF(tblOrders[[#This Row],[Shipped]]&lt;&gt;"","Complete",IF(tblOrders[[#This Row],[Due]]="","",IF(tblOrders[[#This Row],[Due]]&lt;AsOf,"Overdue",IF(tblOrders[[#This Row],[Due]]-AsOf&lt;=DueSoonDays,"Due soon","In progress")))))</f>
        <v>Complete</v>
      </c>
      <c r="W28" s="41" t="str">
        <f>IF(tblOrders[[#This Row],[Released]]="","",IF(OR(tblOrders[[#This Row],[Shipped]]="",tblOrders[[#This Row],[Due]]=""),"",IF(tblOrders[[#This Row],[Shipped]]&lt;=tblOrders[[#This Row],[Due]],"Yes","No")))</f>
        <v>Yes</v>
      </c>
      <c r="X28" s="42">
        <f>IF(tblOrders[[#This Row],[Released]]="","",IF(AND(tblOrders[[#This Row],[Shipped]]&lt;&gt;"",tblOrders[[#This Row],[Shipped]]&gt;=FFrom,tblOrders[[#This Row],[Shipped]]&lt;=FTo,OR(DashCustomer="",tblOrders[[#This Row],[Customer]]=DashCustomer)),tblOrders[[#This Row],[Shipped]],""))</f>
        <v>46244</v>
      </c>
      <c r="Y28" s="42">
        <f>IF(tblOrders[[#This Row],[Released]]="","",IF(AND(tblOrders[[#This Row],[Shipped]]="",OR(DashCustomer="",tblOrders[[#This Row],[Customer]]=DashCustomer)),tblOrders[[#This Row],[Released]],""))</f>
        <v/>
      </c>
      <c r="Z2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29" spans="2:26">
      <c r="B29" s="28" t="s">
        <v>187</v>
      </c>
      <c r="C29" s="28" t="s">
        <v>89</v>
      </c>
      <c r="D29" s="28" t="s">
        <v>188</v>
      </c>
      <c r="E29" s="31">
        <v>4</v>
      </c>
      <c r="F29" s="30">
        <v>46233</v>
      </c>
      <c r="G29" s="30">
        <v>46247</v>
      </c>
      <c r="H29" s="30">
        <v>46246</v>
      </c>
      <c r="I29" s="28"/>
      <c r="J29" s="29">
        <v>1880</v>
      </c>
      <c r="K29" s="37">
        <v>14</v>
      </c>
      <c r="L29" s="29">
        <v>16</v>
      </c>
      <c r="M29" s="29">
        <v>60</v>
      </c>
      <c r="N29" s="29">
        <v>60</v>
      </c>
      <c r="O29" s="38">
        <f>IF(tblOrders[[#This Row],[Released]]="","",tblOrders[[#This Row],[Est hours]]*EstRate+tblOrders[[#This Row],[Est material]])</f>
        <v>1390</v>
      </c>
      <c r="P29" s="38">
        <f>IF(tblOrders[[#This Row],[Released]]="","",tblOrders[[#This Row],[Actual hours]]*CostRate+tblOrders[[#This Row],[Actual material]])</f>
        <v>1628</v>
      </c>
      <c r="Q29" s="38">
        <f>IF(tblOrders[[#This Row],[Released]]="","",IF(tblOrders[[#This Row],[Shipped]]="","",tblOrders[[#This Row],[Actual cost]]-tblOrders[[#This Row],[Est cost]]))</f>
        <v>238</v>
      </c>
      <c r="R29" s="39">
        <f>IF(tblOrders[[#This Row],[Released]]="","",IF(OR(tblOrders[[#This Row],[Shipped]]="",tblOrders[[#This Row],[Order value]]&lt;=0),"",(tblOrders[[#This Row],[Order value]]-tblOrders[[#This Row],[Actual cost]])/tblOrders[[#This Row],[Order value]]))</f>
        <v>0.134042553191489</v>
      </c>
      <c r="S29" s="40">
        <f>IF(tblOrders[[#This Row],[Released]]="","",IF(tblOrders[[#This Row],[Est hours]]&gt;0,tblOrders[[#This Row],[Actual hours]]/tblOrders[[#This Row],[Est hours]],""))</f>
        <v>1.14285714285714</v>
      </c>
      <c r="T29" s="38">
        <f>IF(tblOrders[[#This Row],[Released]]="","",MAX(0,IF(tblOrders[[#This Row],[Shipped]]="",AsOf,tblOrders[[#This Row],[Shipped]])-tblOrders[[#This Row],[Due]]))</f>
        <v>0</v>
      </c>
      <c r="U29" s="38">
        <f>IF(tblOrders[[#This Row],[Released]]="","",IF(tblOrders[[#This Row],[Shipped]]="","",tblOrders[[#This Row],[Shipped]]-tblOrders[[#This Row],[Released]]))</f>
        <v>13</v>
      </c>
      <c r="V29" s="41" t="str">
        <f>IF(tblOrders[[#This Row],[Released]]="","",IF(tblOrders[[#This Row],[Shipped]]&lt;&gt;"","Complete",IF(tblOrders[[#This Row],[Due]]="","",IF(tblOrders[[#This Row],[Due]]&lt;AsOf,"Overdue",IF(tblOrders[[#This Row],[Due]]-AsOf&lt;=DueSoonDays,"Due soon","In progress")))))</f>
        <v>Complete</v>
      </c>
      <c r="W29" s="41" t="str">
        <f>IF(tblOrders[[#This Row],[Released]]="","",IF(OR(tblOrders[[#This Row],[Shipped]]="",tblOrders[[#This Row],[Due]]=""),"",IF(tblOrders[[#This Row],[Shipped]]&lt;=tblOrders[[#This Row],[Due]],"Yes","No")))</f>
        <v>Yes</v>
      </c>
      <c r="X29" s="42">
        <f>IF(tblOrders[[#This Row],[Released]]="","",IF(AND(tblOrders[[#This Row],[Shipped]]&lt;&gt;"",tblOrders[[#This Row],[Shipped]]&gt;=FFrom,tblOrders[[#This Row],[Shipped]]&lt;=FTo,OR(DashCustomer="",tblOrders[[#This Row],[Customer]]=DashCustomer)),tblOrders[[#This Row],[Shipped]],""))</f>
        <v>46246</v>
      </c>
      <c r="Y29" s="42">
        <f>IF(tblOrders[[#This Row],[Released]]="","",IF(AND(tblOrders[[#This Row],[Shipped]]="",OR(DashCustomer="",tblOrders[[#This Row],[Customer]]=DashCustomer)),tblOrders[[#This Row],[Released]],""))</f>
        <v/>
      </c>
      <c r="Z29"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0" spans="2:26">
      <c r="B30" s="28" t="s">
        <v>189</v>
      </c>
      <c r="C30" s="28" t="s">
        <v>86</v>
      </c>
      <c r="D30" s="28" t="s">
        <v>190</v>
      </c>
      <c r="E30" s="31">
        <v>1</v>
      </c>
      <c r="F30" s="30">
        <v>46237</v>
      </c>
      <c r="G30" s="30">
        <v>46255</v>
      </c>
      <c r="H30" s="30">
        <v>46253</v>
      </c>
      <c r="I30" s="28"/>
      <c r="J30" s="29">
        <v>1650</v>
      </c>
      <c r="K30" s="37">
        <v>9.5</v>
      </c>
      <c r="L30" s="29">
        <v>9.25</v>
      </c>
      <c r="M30" s="29">
        <v>190</v>
      </c>
      <c r="N30" s="29">
        <v>195</v>
      </c>
      <c r="O30" s="38">
        <f>IF(tblOrders[[#This Row],[Released]]="","",tblOrders[[#This Row],[Est hours]]*EstRate+tblOrders[[#This Row],[Est material]])</f>
        <v>1092.5</v>
      </c>
      <c r="P30" s="38">
        <f>IF(tblOrders[[#This Row],[Released]]="","",tblOrders[[#This Row],[Actual hours]]*CostRate+tblOrders[[#This Row],[Actual material]])</f>
        <v>1101.5</v>
      </c>
      <c r="Q30" s="38">
        <f>IF(tblOrders[[#This Row],[Released]]="","",IF(tblOrders[[#This Row],[Shipped]]="","",tblOrders[[#This Row],[Actual cost]]-tblOrders[[#This Row],[Est cost]]))</f>
        <v>9</v>
      </c>
      <c r="R30" s="39">
        <f>IF(tblOrders[[#This Row],[Released]]="","",IF(OR(tblOrders[[#This Row],[Shipped]]="",tblOrders[[#This Row],[Order value]]&lt;=0),"",(tblOrders[[#This Row],[Order value]]-tblOrders[[#This Row],[Actual cost]])/tblOrders[[#This Row],[Order value]]))</f>
        <v>0.332424242424242</v>
      </c>
      <c r="S30" s="40">
        <f>IF(tblOrders[[#This Row],[Released]]="","",IF(tblOrders[[#This Row],[Est hours]]&gt;0,tblOrders[[#This Row],[Actual hours]]/tblOrders[[#This Row],[Est hours]],""))</f>
        <v>0.973684210526316</v>
      </c>
      <c r="T30" s="38">
        <f>IF(tblOrders[[#This Row],[Released]]="","",MAX(0,IF(tblOrders[[#This Row],[Shipped]]="",AsOf,tblOrders[[#This Row],[Shipped]])-tblOrders[[#This Row],[Due]]))</f>
        <v>0</v>
      </c>
      <c r="U30" s="38">
        <f>IF(tblOrders[[#This Row],[Released]]="","",IF(tblOrders[[#This Row],[Shipped]]="","",tblOrders[[#This Row],[Shipped]]-tblOrders[[#This Row],[Released]]))</f>
        <v>16</v>
      </c>
      <c r="V30" s="41" t="str">
        <f>IF(tblOrders[[#This Row],[Released]]="","",IF(tblOrders[[#This Row],[Shipped]]&lt;&gt;"","Complete",IF(tblOrders[[#This Row],[Due]]="","",IF(tblOrders[[#This Row],[Due]]&lt;AsOf,"Overdue",IF(tblOrders[[#This Row],[Due]]-AsOf&lt;=DueSoonDays,"Due soon","In progress")))))</f>
        <v>Complete</v>
      </c>
      <c r="W30" s="41" t="str">
        <f>IF(tblOrders[[#This Row],[Released]]="","",IF(OR(tblOrders[[#This Row],[Shipped]]="",tblOrders[[#This Row],[Due]]=""),"",IF(tblOrders[[#This Row],[Shipped]]&lt;=tblOrders[[#This Row],[Due]],"Yes","No")))</f>
        <v>Yes</v>
      </c>
      <c r="X30" s="42">
        <f>IF(tblOrders[[#This Row],[Released]]="","",IF(AND(tblOrders[[#This Row],[Shipped]]&lt;&gt;"",tblOrders[[#This Row],[Shipped]]&gt;=FFrom,tblOrders[[#This Row],[Shipped]]&lt;=FTo,OR(DashCustomer="",tblOrders[[#This Row],[Customer]]=DashCustomer)),tblOrders[[#This Row],[Shipped]],""))</f>
        <v>46253</v>
      </c>
      <c r="Y30" s="42">
        <f>IF(tblOrders[[#This Row],[Released]]="","",IF(AND(tblOrders[[#This Row],[Shipped]]="",OR(DashCustomer="",tblOrders[[#This Row],[Customer]]=DashCustomer)),tblOrders[[#This Row],[Released]],""))</f>
        <v/>
      </c>
      <c r="Z30"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1" spans="2:26">
      <c r="B31" s="28" t="s">
        <v>191</v>
      </c>
      <c r="C31" s="28" t="s">
        <v>83</v>
      </c>
      <c r="D31" s="28" t="s">
        <v>192</v>
      </c>
      <c r="E31" s="31">
        <v>100</v>
      </c>
      <c r="F31" s="30">
        <v>46237</v>
      </c>
      <c r="G31" s="30">
        <v>46265</v>
      </c>
      <c r="H31" s="30">
        <v>46265</v>
      </c>
      <c r="I31" s="28"/>
      <c r="J31" s="29">
        <v>4170</v>
      </c>
      <c r="K31" s="37">
        <v>25</v>
      </c>
      <c r="L31" s="29">
        <v>25.75</v>
      </c>
      <c r="M31" s="29">
        <v>425</v>
      </c>
      <c r="N31" s="29">
        <v>440</v>
      </c>
      <c r="O31" s="38">
        <f>IF(tblOrders[[#This Row],[Released]]="","",tblOrders[[#This Row],[Est hours]]*EstRate+tblOrders[[#This Row],[Est material]])</f>
        <v>2800</v>
      </c>
      <c r="P31" s="38">
        <f>IF(tblOrders[[#This Row],[Released]]="","",tblOrders[[#This Row],[Actual hours]]*CostRate+tblOrders[[#This Row],[Actual material]])</f>
        <v>2963.5</v>
      </c>
      <c r="Q31" s="38">
        <f>IF(tblOrders[[#This Row],[Released]]="","",IF(tblOrders[[#This Row],[Shipped]]="","",tblOrders[[#This Row],[Actual cost]]-tblOrders[[#This Row],[Est cost]]))</f>
        <v>163.5</v>
      </c>
      <c r="R31" s="39">
        <f>IF(tblOrders[[#This Row],[Released]]="","",IF(OR(tblOrders[[#This Row],[Shipped]]="",tblOrders[[#This Row],[Order value]]&lt;=0),"",(tblOrders[[#This Row],[Order value]]-tblOrders[[#This Row],[Actual cost]])/tblOrders[[#This Row],[Order value]]))</f>
        <v>0.289328537170264</v>
      </c>
      <c r="S31" s="40">
        <f>IF(tblOrders[[#This Row],[Released]]="","",IF(tblOrders[[#This Row],[Est hours]]&gt;0,tblOrders[[#This Row],[Actual hours]]/tblOrders[[#This Row],[Est hours]],""))</f>
        <v>1.03</v>
      </c>
      <c r="T31" s="38">
        <f>IF(tblOrders[[#This Row],[Released]]="","",MAX(0,IF(tblOrders[[#This Row],[Shipped]]="",AsOf,tblOrders[[#This Row],[Shipped]])-tblOrders[[#This Row],[Due]]))</f>
        <v>0</v>
      </c>
      <c r="U31" s="38">
        <f>IF(tblOrders[[#This Row],[Released]]="","",IF(tblOrders[[#This Row],[Shipped]]="","",tblOrders[[#This Row],[Shipped]]-tblOrders[[#This Row],[Released]]))</f>
        <v>28</v>
      </c>
      <c r="V31" s="41" t="str">
        <f>IF(tblOrders[[#This Row],[Released]]="","",IF(tblOrders[[#This Row],[Shipped]]&lt;&gt;"","Complete",IF(tblOrders[[#This Row],[Due]]="","",IF(tblOrders[[#This Row],[Due]]&lt;AsOf,"Overdue",IF(tblOrders[[#This Row],[Due]]-AsOf&lt;=DueSoonDays,"Due soon","In progress")))))</f>
        <v>Complete</v>
      </c>
      <c r="W31" s="41" t="str">
        <f>IF(tblOrders[[#This Row],[Released]]="","",IF(OR(tblOrders[[#This Row],[Shipped]]="",tblOrders[[#This Row],[Due]]=""),"",IF(tblOrders[[#This Row],[Shipped]]&lt;=tblOrders[[#This Row],[Due]],"Yes","No")))</f>
        <v>Yes</v>
      </c>
      <c r="X31" s="42">
        <f>IF(tblOrders[[#This Row],[Released]]="","",IF(AND(tblOrders[[#This Row],[Shipped]]&lt;&gt;"",tblOrders[[#This Row],[Shipped]]&gt;=FFrom,tblOrders[[#This Row],[Shipped]]&lt;=FTo,OR(DashCustomer="",tblOrders[[#This Row],[Customer]]=DashCustomer)),tblOrders[[#This Row],[Shipped]],""))</f>
        <v>46265</v>
      </c>
      <c r="Y31" s="42">
        <f>IF(tblOrders[[#This Row],[Released]]="","",IF(AND(tblOrders[[#This Row],[Shipped]]="",OR(DashCustomer="",tblOrders[[#This Row],[Customer]]=DashCustomer)),tblOrders[[#This Row],[Released]],""))</f>
        <v/>
      </c>
      <c r="Z31"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2" spans="2:26">
      <c r="B32" s="28" t="s">
        <v>193</v>
      </c>
      <c r="C32" s="28" t="s">
        <v>86</v>
      </c>
      <c r="D32" s="28" t="s">
        <v>194</v>
      </c>
      <c r="E32" s="31">
        <v>50</v>
      </c>
      <c r="F32" s="30">
        <v>46238</v>
      </c>
      <c r="G32" s="30">
        <v>46251</v>
      </c>
      <c r="H32" s="30">
        <v>46247</v>
      </c>
      <c r="I32" s="28"/>
      <c r="J32" s="29">
        <v>3030</v>
      </c>
      <c r="K32" s="37">
        <v>19</v>
      </c>
      <c r="L32" s="29">
        <v>18.5</v>
      </c>
      <c r="M32" s="29">
        <v>245</v>
      </c>
      <c r="N32" s="29">
        <v>250</v>
      </c>
      <c r="O32" s="38">
        <f>IF(tblOrders[[#This Row],[Released]]="","",tblOrders[[#This Row],[Est hours]]*EstRate+tblOrders[[#This Row],[Est material]])</f>
        <v>2050</v>
      </c>
      <c r="P32" s="38">
        <f>IF(tblOrders[[#This Row],[Released]]="","",tblOrders[[#This Row],[Actual hours]]*CostRate+tblOrders[[#This Row],[Actual material]])</f>
        <v>2063</v>
      </c>
      <c r="Q32" s="38">
        <f>IF(tblOrders[[#This Row],[Released]]="","",IF(tblOrders[[#This Row],[Shipped]]="","",tblOrders[[#This Row],[Actual cost]]-tblOrders[[#This Row],[Est cost]]))</f>
        <v>13</v>
      </c>
      <c r="R32" s="39">
        <f>IF(tblOrders[[#This Row],[Released]]="","",IF(OR(tblOrders[[#This Row],[Shipped]]="",tblOrders[[#This Row],[Order value]]&lt;=0),"",(tblOrders[[#This Row],[Order value]]-tblOrders[[#This Row],[Actual cost]])/tblOrders[[#This Row],[Order value]]))</f>
        <v>0.319141914191419</v>
      </c>
      <c r="S32" s="40">
        <f>IF(tblOrders[[#This Row],[Released]]="","",IF(tblOrders[[#This Row],[Est hours]]&gt;0,tblOrders[[#This Row],[Actual hours]]/tblOrders[[#This Row],[Est hours]],""))</f>
        <v>0.973684210526316</v>
      </c>
      <c r="T32" s="38">
        <f>IF(tblOrders[[#This Row],[Released]]="","",MAX(0,IF(tblOrders[[#This Row],[Shipped]]="",AsOf,tblOrders[[#This Row],[Shipped]])-tblOrders[[#This Row],[Due]]))</f>
        <v>0</v>
      </c>
      <c r="U32" s="38">
        <f>IF(tblOrders[[#This Row],[Released]]="","",IF(tblOrders[[#This Row],[Shipped]]="","",tblOrders[[#This Row],[Shipped]]-tblOrders[[#This Row],[Released]]))</f>
        <v>9</v>
      </c>
      <c r="V32" s="41" t="str">
        <f>IF(tblOrders[[#This Row],[Released]]="","",IF(tblOrders[[#This Row],[Shipped]]&lt;&gt;"","Complete",IF(tblOrders[[#This Row],[Due]]="","",IF(tblOrders[[#This Row],[Due]]&lt;AsOf,"Overdue",IF(tblOrders[[#This Row],[Due]]-AsOf&lt;=DueSoonDays,"Due soon","In progress")))))</f>
        <v>Complete</v>
      </c>
      <c r="W32" s="41" t="str">
        <f>IF(tblOrders[[#This Row],[Released]]="","",IF(OR(tblOrders[[#This Row],[Shipped]]="",tblOrders[[#This Row],[Due]]=""),"",IF(tblOrders[[#This Row],[Shipped]]&lt;=tblOrders[[#This Row],[Due]],"Yes","No")))</f>
        <v>Yes</v>
      </c>
      <c r="X32" s="42">
        <f>IF(tblOrders[[#This Row],[Released]]="","",IF(AND(tblOrders[[#This Row],[Shipped]]&lt;&gt;"",tblOrders[[#This Row],[Shipped]]&gt;=FFrom,tblOrders[[#This Row],[Shipped]]&lt;=FTo,OR(DashCustomer="",tblOrders[[#This Row],[Customer]]=DashCustomer)),tblOrders[[#This Row],[Shipped]],""))</f>
        <v>46247</v>
      </c>
      <c r="Y32" s="42">
        <f>IF(tblOrders[[#This Row],[Released]]="","",IF(AND(tblOrders[[#This Row],[Shipped]]="",OR(DashCustomer="",tblOrders[[#This Row],[Customer]]=DashCustomer)),tblOrders[[#This Row],[Released]],""))</f>
        <v/>
      </c>
      <c r="Z32"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3" spans="2:26">
      <c r="B33" s="28" t="s">
        <v>195</v>
      </c>
      <c r="C33" s="28" t="s">
        <v>92</v>
      </c>
      <c r="D33" s="28" t="s">
        <v>196</v>
      </c>
      <c r="E33" s="31">
        <v>20</v>
      </c>
      <c r="F33" s="30">
        <v>46239</v>
      </c>
      <c r="G33" s="30">
        <v>46251</v>
      </c>
      <c r="H33" s="30">
        <v>46251</v>
      </c>
      <c r="I33" s="28"/>
      <c r="J33" s="29">
        <v>2240</v>
      </c>
      <c r="K33" s="37">
        <v>13</v>
      </c>
      <c r="L33" s="29">
        <v>14</v>
      </c>
      <c r="M33" s="29">
        <v>220</v>
      </c>
      <c r="N33" s="29">
        <v>215</v>
      </c>
      <c r="O33" s="38">
        <f>IF(tblOrders[[#This Row],[Released]]="","",tblOrders[[#This Row],[Est hours]]*EstRate+tblOrders[[#This Row],[Est material]])</f>
        <v>1455</v>
      </c>
      <c r="P33" s="38">
        <f>IF(tblOrders[[#This Row],[Released]]="","",tblOrders[[#This Row],[Actual hours]]*CostRate+tblOrders[[#This Row],[Actual material]])</f>
        <v>1587</v>
      </c>
      <c r="Q33" s="38">
        <f>IF(tblOrders[[#This Row],[Released]]="","",IF(tblOrders[[#This Row],[Shipped]]="","",tblOrders[[#This Row],[Actual cost]]-tblOrders[[#This Row],[Est cost]]))</f>
        <v>132</v>
      </c>
      <c r="R33" s="39">
        <f>IF(tblOrders[[#This Row],[Released]]="","",IF(OR(tblOrders[[#This Row],[Shipped]]="",tblOrders[[#This Row],[Order value]]&lt;=0),"",(tblOrders[[#This Row],[Order value]]-tblOrders[[#This Row],[Actual cost]])/tblOrders[[#This Row],[Order value]]))</f>
        <v>0.291517857142857</v>
      </c>
      <c r="S33" s="40">
        <f>IF(tblOrders[[#This Row],[Released]]="","",IF(tblOrders[[#This Row],[Est hours]]&gt;0,tblOrders[[#This Row],[Actual hours]]/tblOrders[[#This Row],[Est hours]],""))</f>
        <v>1.07692307692308</v>
      </c>
      <c r="T33" s="38">
        <f>IF(tblOrders[[#This Row],[Released]]="","",MAX(0,IF(tblOrders[[#This Row],[Shipped]]="",AsOf,tblOrders[[#This Row],[Shipped]])-tblOrders[[#This Row],[Due]]))</f>
        <v>0</v>
      </c>
      <c r="U33" s="38">
        <f>IF(tblOrders[[#This Row],[Released]]="","",IF(tblOrders[[#This Row],[Shipped]]="","",tblOrders[[#This Row],[Shipped]]-tblOrders[[#This Row],[Released]]))</f>
        <v>12</v>
      </c>
      <c r="V33" s="41" t="str">
        <f>IF(tblOrders[[#This Row],[Released]]="","",IF(tblOrders[[#This Row],[Shipped]]&lt;&gt;"","Complete",IF(tblOrders[[#This Row],[Due]]="","",IF(tblOrders[[#This Row],[Due]]&lt;AsOf,"Overdue",IF(tblOrders[[#This Row],[Due]]-AsOf&lt;=DueSoonDays,"Due soon","In progress")))))</f>
        <v>Complete</v>
      </c>
      <c r="W33" s="41" t="str">
        <f>IF(tblOrders[[#This Row],[Released]]="","",IF(OR(tblOrders[[#This Row],[Shipped]]="",tblOrders[[#This Row],[Due]]=""),"",IF(tblOrders[[#This Row],[Shipped]]&lt;=tblOrders[[#This Row],[Due]],"Yes","No")))</f>
        <v>Yes</v>
      </c>
      <c r="X33" s="42">
        <f>IF(tblOrders[[#This Row],[Released]]="","",IF(AND(tblOrders[[#This Row],[Shipped]]&lt;&gt;"",tblOrders[[#This Row],[Shipped]]&gt;=FFrom,tblOrders[[#This Row],[Shipped]]&lt;=FTo,OR(DashCustomer="",tblOrders[[#This Row],[Customer]]=DashCustomer)),tblOrders[[#This Row],[Shipped]],""))</f>
        <v>46251</v>
      </c>
      <c r="Y33" s="42">
        <f>IF(tblOrders[[#This Row],[Released]]="","",IF(AND(tblOrders[[#This Row],[Shipped]]="",OR(DashCustomer="",tblOrders[[#This Row],[Customer]]=DashCustomer)),tblOrders[[#This Row],[Released]],""))</f>
        <v/>
      </c>
      <c r="Z33"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4" spans="2:26">
      <c r="B34" s="28" t="s">
        <v>197</v>
      </c>
      <c r="C34" s="28" t="s">
        <v>95</v>
      </c>
      <c r="D34" s="28" t="s">
        <v>198</v>
      </c>
      <c r="E34" s="31">
        <v>4</v>
      </c>
      <c r="F34" s="30">
        <v>46240</v>
      </c>
      <c r="G34" s="30">
        <v>46265</v>
      </c>
      <c r="H34" s="30">
        <v>46261</v>
      </c>
      <c r="I34" s="28"/>
      <c r="J34" s="29">
        <v>1300</v>
      </c>
      <c r="K34" s="37">
        <v>9</v>
      </c>
      <c r="L34" s="29">
        <v>8.75</v>
      </c>
      <c r="M34" s="29">
        <v>90</v>
      </c>
      <c r="N34" s="29">
        <v>100</v>
      </c>
      <c r="O34" s="38">
        <f>IF(tblOrders[[#This Row],[Released]]="","",tblOrders[[#This Row],[Est hours]]*EstRate+tblOrders[[#This Row],[Est material]])</f>
        <v>945</v>
      </c>
      <c r="P34" s="38">
        <f>IF(tblOrders[[#This Row],[Released]]="","",tblOrders[[#This Row],[Actual hours]]*CostRate+tblOrders[[#This Row],[Actual material]])</f>
        <v>957.5</v>
      </c>
      <c r="Q34" s="38">
        <f>IF(tblOrders[[#This Row],[Released]]="","",IF(tblOrders[[#This Row],[Shipped]]="","",tblOrders[[#This Row],[Actual cost]]-tblOrders[[#This Row],[Est cost]]))</f>
        <v>12.5</v>
      </c>
      <c r="R34" s="39">
        <f>IF(tblOrders[[#This Row],[Released]]="","",IF(OR(tblOrders[[#This Row],[Shipped]]="",tblOrders[[#This Row],[Order value]]&lt;=0),"",(tblOrders[[#This Row],[Order value]]-tblOrders[[#This Row],[Actual cost]])/tblOrders[[#This Row],[Order value]]))</f>
        <v>0.263461538461538</v>
      </c>
      <c r="S34" s="40">
        <f>IF(tblOrders[[#This Row],[Released]]="","",IF(tblOrders[[#This Row],[Est hours]]&gt;0,tblOrders[[#This Row],[Actual hours]]/tblOrders[[#This Row],[Est hours]],""))</f>
        <v>0.972222222222222</v>
      </c>
      <c r="T34" s="38">
        <f>IF(tblOrders[[#This Row],[Released]]="","",MAX(0,IF(tblOrders[[#This Row],[Shipped]]="",AsOf,tblOrders[[#This Row],[Shipped]])-tblOrders[[#This Row],[Due]]))</f>
        <v>0</v>
      </c>
      <c r="U34" s="38">
        <f>IF(tblOrders[[#This Row],[Released]]="","",IF(tblOrders[[#This Row],[Shipped]]="","",tblOrders[[#This Row],[Shipped]]-tblOrders[[#This Row],[Released]]))</f>
        <v>21</v>
      </c>
      <c r="V34" s="41" t="str">
        <f>IF(tblOrders[[#This Row],[Released]]="","",IF(tblOrders[[#This Row],[Shipped]]&lt;&gt;"","Complete",IF(tblOrders[[#This Row],[Due]]="","",IF(tblOrders[[#This Row],[Due]]&lt;AsOf,"Overdue",IF(tblOrders[[#This Row],[Due]]-AsOf&lt;=DueSoonDays,"Due soon","In progress")))))</f>
        <v>Complete</v>
      </c>
      <c r="W34" s="41" t="str">
        <f>IF(tblOrders[[#This Row],[Released]]="","",IF(OR(tblOrders[[#This Row],[Shipped]]="",tblOrders[[#This Row],[Due]]=""),"",IF(tblOrders[[#This Row],[Shipped]]&lt;=tblOrders[[#This Row],[Due]],"Yes","No")))</f>
        <v>Yes</v>
      </c>
      <c r="X34" s="42">
        <f>IF(tblOrders[[#This Row],[Released]]="","",IF(AND(tblOrders[[#This Row],[Shipped]]&lt;&gt;"",tblOrders[[#This Row],[Shipped]]&gt;=FFrom,tblOrders[[#This Row],[Shipped]]&lt;=FTo,OR(DashCustomer="",tblOrders[[#This Row],[Customer]]=DashCustomer)),tblOrders[[#This Row],[Shipped]],""))</f>
        <v>46261</v>
      </c>
      <c r="Y34" s="42">
        <f>IF(tblOrders[[#This Row],[Released]]="","",IF(AND(tblOrders[[#This Row],[Shipped]]="",OR(DashCustomer="",tblOrders[[#This Row],[Customer]]=DashCustomer)),tblOrders[[#This Row],[Released]],""))</f>
        <v/>
      </c>
      <c r="Z34"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5" spans="2:26">
      <c r="B35" s="28" t="s">
        <v>199</v>
      </c>
      <c r="C35" s="28" t="s">
        <v>92</v>
      </c>
      <c r="D35" s="28" t="s">
        <v>200</v>
      </c>
      <c r="E35" s="31">
        <v>40</v>
      </c>
      <c r="F35" s="30">
        <v>46244</v>
      </c>
      <c r="G35" s="30">
        <v>46251</v>
      </c>
      <c r="H35" s="30">
        <v>46251</v>
      </c>
      <c r="I35" s="28"/>
      <c r="J35" s="29">
        <v>450</v>
      </c>
      <c r="K35" s="37">
        <v>3</v>
      </c>
      <c r="L35" s="29">
        <v>3</v>
      </c>
      <c r="M35" s="29">
        <v>15</v>
      </c>
      <c r="N35" s="29">
        <v>15</v>
      </c>
      <c r="O35" s="38">
        <f>IF(tblOrders[[#This Row],[Released]]="","",tblOrders[[#This Row],[Est hours]]*EstRate+tblOrders[[#This Row],[Est material]])</f>
        <v>300</v>
      </c>
      <c r="P35" s="38">
        <f>IF(tblOrders[[#This Row],[Released]]="","",tblOrders[[#This Row],[Actual hours]]*CostRate+tblOrders[[#This Row],[Actual material]])</f>
        <v>309</v>
      </c>
      <c r="Q35" s="38">
        <f>IF(tblOrders[[#This Row],[Released]]="","",IF(tblOrders[[#This Row],[Shipped]]="","",tblOrders[[#This Row],[Actual cost]]-tblOrders[[#This Row],[Est cost]]))</f>
        <v>9</v>
      </c>
      <c r="R35" s="39">
        <f>IF(tblOrders[[#This Row],[Released]]="","",IF(OR(tblOrders[[#This Row],[Shipped]]="",tblOrders[[#This Row],[Order value]]&lt;=0),"",(tblOrders[[#This Row],[Order value]]-tblOrders[[#This Row],[Actual cost]])/tblOrders[[#This Row],[Order value]]))</f>
        <v>0.313333333333333</v>
      </c>
      <c r="S35" s="40">
        <f>IF(tblOrders[[#This Row],[Released]]="","",IF(tblOrders[[#This Row],[Est hours]]&gt;0,tblOrders[[#This Row],[Actual hours]]/tblOrders[[#This Row],[Est hours]],""))</f>
        <v>1</v>
      </c>
      <c r="T35" s="38">
        <f>IF(tblOrders[[#This Row],[Released]]="","",MAX(0,IF(tblOrders[[#This Row],[Shipped]]="",AsOf,tblOrders[[#This Row],[Shipped]])-tblOrders[[#This Row],[Due]]))</f>
        <v>0</v>
      </c>
      <c r="U35" s="38">
        <f>IF(tblOrders[[#This Row],[Released]]="","",IF(tblOrders[[#This Row],[Shipped]]="","",tblOrders[[#This Row],[Shipped]]-tblOrders[[#This Row],[Released]]))</f>
        <v>7</v>
      </c>
      <c r="V35" s="41" t="str">
        <f>IF(tblOrders[[#This Row],[Released]]="","",IF(tblOrders[[#This Row],[Shipped]]&lt;&gt;"","Complete",IF(tblOrders[[#This Row],[Due]]="","",IF(tblOrders[[#This Row],[Due]]&lt;AsOf,"Overdue",IF(tblOrders[[#This Row],[Due]]-AsOf&lt;=DueSoonDays,"Due soon","In progress")))))</f>
        <v>Complete</v>
      </c>
      <c r="W35" s="41" t="str">
        <f>IF(tblOrders[[#This Row],[Released]]="","",IF(OR(tblOrders[[#This Row],[Shipped]]="",tblOrders[[#This Row],[Due]]=""),"",IF(tblOrders[[#This Row],[Shipped]]&lt;=tblOrders[[#This Row],[Due]],"Yes","No")))</f>
        <v>Yes</v>
      </c>
      <c r="X35" s="42">
        <f>IF(tblOrders[[#This Row],[Released]]="","",IF(AND(tblOrders[[#This Row],[Shipped]]&lt;&gt;"",tblOrders[[#This Row],[Shipped]]&gt;=FFrom,tblOrders[[#This Row],[Shipped]]&lt;=FTo,OR(DashCustomer="",tblOrders[[#This Row],[Customer]]=DashCustomer)),tblOrders[[#This Row],[Shipped]],""))</f>
        <v>46251</v>
      </c>
      <c r="Y35" s="42">
        <f>IF(tblOrders[[#This Row],[Released]]="","",IF(AND(tblOrders[[#This Row],[Shipped]]="",OR(DashCustomer="",tblOrders[[#This Row],[Customer]]=DashCustomer)),tblOrders[[#This Row],[Released]],""))</f>
        <v/>
      </c>
      <c r="Z35"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6" spans="2:26">
      <c r="B36" s="28" t="s">
        <v>201</v>
      </c>
      <c r="C36" s="28" t="s">
        <v>98</v>
      </c>
      <c r="D36" s="28" t="s">
        <v>202</v>
      </c>
      <c r="E36" s="31">
        <v>5</v>
      </c>
      <c r="F36" s="30">
        <v>46244</v>
      </c>
      <c r="G36" s="30">
        <v>46258</v>
      </c>
      <c r="H36" s="30">
        <v>46258</v>
      </c>
      <c r="I36" s="28"/>
      <c r="J36" s="29">
        <v>3630</v>
      </c>
      <c r="K36" s="37">
        <v>24</v>
      </c>
      <c r="L36" s="29">
        <v>29.25</v>
      </c>
      <c r="M36" s="29">
        <v>200</v>
      </c>
      <c r="N36" s="29">
        <v>205</v>
      </c>
      <c r="O36" s="38">
        <f>IF(tblOrders[[#This Row],[Released]]="","",tblOrders[[#This Row],[Est hours]]*EstRate+tblOrders[[#This Row],[Est material]])</f>
        <v>2480</v>
      </c>
      <c r="P36" s="38">
        <f>IF(tblOrders[[#This Row],[Released]]="","",tblOrders[[#This Row],[Actual hours]]*CostRate+tblOrders[[#This Row],[Actual material]])</f>
        <v>3071.5</v>
      </c>
      <c r="Q36" s="38">
        <f>IF(tblOrders[[#This Row],[Released]]="","",IF(tblOrders[[#This Row],[Shipped]]="","",tblOrders[[#This Row],[Actual cost]]-tblOrders[[#This Row],[Est cost]]))</f>
        <v>591.5</v>
      </c>
      <c r="R36" s="39">
        <f>IF(tblOrders[[#This Row],[Released]]="","",IF(OR(tblOrders[[#This Row],[Shipped]]="",tblOrders[[#This Row],[Order value]]&lt;=0),"",(tblOrders[[#This Row],[Order value]]-tblOrders[[#This Row],[Actual cost]])/tblOrders[[#This Row],[Order value]]))</f>
        <v>0.153856749311295</v>
      </c>
      <c r="S36" s="40">
        <f>IF(tblOrders[[#This Row],[Released]]="","",IF(tblOrders[[#This Row],[Est hours]]&gt;0,tblOrders[[#This Row],[Actual hours]]/tblOrders[[#This Row],[Est hours]],""))</f>
        <v>1.21875</v>
      </c>
      <c r="T36" s="38">
        <f>IF(tblOrders[[#This Row],[Released]]="","",MAX(0,IF(tblOrders[[#This Row],[Shipped]]="",AsOf,tblOrders[[#This Row],[Shipped]])-tblOrders[[#This Row],[Due]]))</f>
        <v>0</v>
      </c>
      <c r="U36" s="38">
        <f>IF(tblOrders[[#This Row],[Released]]="","",IF(tblOrders[[#This Row],[Shipped]]="","",tblOrders[[#This Row],[Shipped]]-tblOrders[[#This Row],[Released]]))</f>
        <v>14</v>
      </c>
      <c r="V36" s="41" t="str">
        <f>IF(tblOrders[[#This Row],[Released]]="","",IF(tblOrders[[#This Row],[Shipped]]&lt;&gt;"","Complete",IF(tblOrders[[#This Row],[Due]]="","",IF(tblOrders[[#This Row],[Due]]&lt;AsOf,"Overdue",IF(tblOrders[[#This Row],[Due]]-AsOf&lt;=DueSoonDays,"Due soon","In progress")))))</f>
        <v>Complete</v>
      </c>
      <c r="W36" s="41" t="str">
        <f>IF(tblOrders[[#This Row],[Released]]="","",IF(OR(tblOrders[[#This Row],[Shipped]]="",tblOrders[[#This Row],[Due]]=""),"",IF(tblOrders[[#This Row],[Shipped]]&lt;=tblOrders[[#This Row],[Due]],"Yes","No")))</f>
        <v>Yes</v>
      </c>
      <c r="X36" s="42">
        <f>IF(tblOrders[[#This Row],[Released]]="","",IF(AND(tblOrders[[#This Row],[Shipped]]&lt;&gt;"",tblOrders[[#This Row],[Shipped]]&gt;=FFrom,tblOrders[[#This Row],[Shipped]]&lt;=FTo,OR(DashCustomer="",tblOrders[[#This Row],[Customer]]=DashCustomer)),tblOrders[[#This Row],[Shipped]],""))</f>
        <v>46258</v>
      </c>
      <c r="Y36" s="42">
        <f>IF(tblOrders[[#This Row],[Released]]="","",IF(AND(tblOrders[[#This Row],[Shipped]]="",OR(DashCustomer="",tblOrders[[#This Row],[Customer]]=DashCustomer)),tblOrders[[#This Row],[Released]],""))</f>
        <v/>
      </c>
      <c r="Z36"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7" spans="2:26">
      <c r="B37" s="28" t="s">
        <v>203</v>
      </c>
      <c r="C37" s="28" t="s">
        <v>98</v>
      </c>
      <c r="D37" s="28" t="s">
        <v>204</v>
      </c>
      <c r="E37" s="31">
        <v>12</v>
      </c>
      <c r="F37" s="30">
        <v>46244</v>
      </c>
      <c r="G37" s="30">
        <v>46261</v>
      </c>
      <c r="H37" s="30">
        <v>46258</v>
      </c>
      <c r="I37" s="28"/>
      <c r="J37" s="29">
        <v>1490</v>
      </c>
      <c r="K37" s="37">
        <v>10.5</v>
      </c>
      <c r="L37" s="29">
        <v>11.75</v>
      </c>
      <c r="M37" s="29">
        <v>55</v>
      </c>
      <c r="N37" s="29">
        <v>60</v>
      </c>
      <c r="O37" s="38">
        <f>IF(tblOrders[[#This Row],[Released]]="","",tblOrders[[#This Row],[Est hours]]*EstRate+tblOrders[[#This Row],[Est material]])</f>
        <v>1052.5</v>
      </c>
      <c r="P37" s="38">
        <f>IF(tblOrders[[#This Row],[Released]]="","",tblOrders[[#This Row],[Actual hours]]*CostRate+tblOrders[[#This Row],[Actual material]])</f>
        <v>1211.5</v>
      </c>
      <c r="Q37" s="38">
        <f>IF(tblOrders[[#This Row],[Released]]="","",IF(tblOrders[[#This Row],[Shipped]]="","",tblOrders[[#This Row],[Actual cost]]-tblOrders[[#This Row],[Est cost]]))</f>
        <v>159</v>
      </c>
      <c r="R37" s="39">
        <f>IF(tblOrders[[#This Row],[Released]]="","",IF(OR(tblOrders[[#This Row],[Shipped]]="",tblOrders[[#This Row],[Order value]]&lt;=0),"",(tblOrders[[#This Row],[Order value]]-tblOrders[[#This Row],[Actual cost]])/tblOrders[[#This Row],[Order value]]))</f>
        <v>0.186912751677852</v>
      </c>
      <c r="S37" s="40">
        <f>IF(tblOrders[[#This Row],[Released]]="","",IF(tblOrders[[#This Row],[Est hours]]&gt;0,tblOrders[[#This Row],[Actual hours]]/tblOrders[[#This Row],[Est hours]],""))</f>
        <v>1.11904761904762</v>
      </c>
      <c r="T37" s="38">
        <f>IF(tblOrders[[#This Row],[Released]]="","",MAX(0,IF(tblOrders[[#This Row],[Shipped]]="",AsOf,tblOrders[[#This Row],[Shipped]])-tblOrders[[#This Row],[Due]]))</f>
        <v>0</v>
      </c>
      <c r="U37" s="38">
        <f>IF(tblOrders[[#This Row],[Released]]="","",IF(tblOrders[[#This Row],[Shipped]]="","",tblOrders[[#This Row],[Shipped]]-tblOrders[[#This Row],[Released]]))</f>
        <v>14</v>
      </c>
      <c r="V37" s="41" t="str">
        <f>IF(tblOrders[[#This Row],[Released]]="","",IF(tblOrders[[#This Row],[Shipped]]&lt;&gt;"","Complete",IF(tblOrders[[#This Row],[Due]]="","",IF(tblOrders[[#This Row],[Due]]&lt;AsOf,"Overdue",IF(tblOrders[[#This Row],[Due]]-AsOf&lt;=DueSoonDays,"Due soon","In progress")))))</f>
        <v>Complete</v>
      </c>
      <c r="W37" s="41" t="str">
        <f>IF(tblOrders[[#This Row],[Released]]="","",IF(OR(tblOrders[[#This Row],[Shipped]]="",tblOrders[[#This Row],[Due]]=""),"",IF(tblOrders[[#This Row],[Shipped]]&lt;=tblOrders[[#This Row],[Due]],"Yes","No")))</f>
        <v>Yes</v>
      </c>
      <c r="X37" s="42">
        <f>IF(tblOrders[[#This Row],[Released]]="","",IF(AND(tblOrders[[#This Row],[Shipped]]&lt;&gt;"",tblOrders[[#This Row],[Shipped]]&gt;=FFrom,tblOrders[[#This Row],[Shipped]]&lt;=FTo,OR(DashCustomer="",tblOrders[[#This Row],[Customer]]=DashCustomer)),tblOrders[[#This Row],[Shipped]],""))</f>
        <v>46258</v>
      </c>
      <c r="Y37" s="42">
        <f>IF(tblOrders[[#This Row],[Released]]="","",IF(AND(tblOrders[[#This Row],[Shipped]]="",OR(DashCustomer="",tblOrders[[#This Row],[Customer]]=DashCustomer)),tblOrders[[#This Row],[Released]],""))</f>
        <v/>
      </c>
      <c r="Z3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8" spans="2:26">
      <c r="B38" s="28" t="s">
        <v>205</v>
      </c>
      <c r="C38" s="28" t="s">
        <v>86</v>
      </c>
      <c r="D38" s="28" t="s">
        <v>206</v>
      </c>
      <c r="E38" s="31">
        <v>1</v>
      </c>
      <c r="F38" s="30">
        <v>46246</v>
      </c>
      <c r="G38" s="30">
        <v>46261</v>
      </c>
      <c r="H38" s="30">
        <v>46266</v>
      </c>
      <c r="I38" s="28"/>
      <c r="J38" s="29">
        <v>3140</v>
      </c>
      <c r="K38" s="37">
        <v>22</v>
      </c>
      <c r="L38" s="29">
        <v>21.75</v>
      </c>
      <c r="M38" s="29">
        <v>225</v>
      </c>
      <c r="N38" s="29">
        <v>230</v>
      </c>
      <c r="O38" s="38">
        <f>IF(tblOrders[[#This Row],[Released]]="","",tblOrders[[#This Row],[Est hours]]*EstRate+tblOrders[[#This Row],[Est material]])</f>
        <v>2315</v>
      </c>
      <c r="P38" s="38">
        <f>IF(tblOrders[[#This Row],[Released]]="","",tblOrders[[#This Row],[Actual hours]]*CostRate+tblOrders[[#This Row],[Actual material]])</f>
        <v>2361.5</v>
      </c>
      <c r="Q38" s="38">
        <f>IF(tblOrders[[#This Row],[Released]]="","",IF(tblOrders[[#This Row],[Shipped]]="","",tblOrders[[#This Row],[Actual cost]]-tblOrders[[#This Row],[Est cost]]))</f>
        <v>46.5</v>
      </c>
      <c r="R38" s="39">
        <f>IF(tblOrders[[#This Row],[Released]]="","",IF(OR(tblOrders[[#This Row],[Shipped]]="",tblOrders[[#This Row],[Order value]]&lt;=0),"",(tblOrders[[#This Row],[Order value]]-tblOrders[[#This Row],[Actual cost]])/tblOrders[[#This Row],[Order value]]))</f>
        <v>0.247929936305732</v>
      </c>
      <c r="S38" s="40">
        <f>IF(tblOrders[[#This Row],[Released]]="","",IF(tblOrders[[#This Row],[Est hours]]&gt;0,tblOrders[[#This Row],[Actual hours]]/tblOrders[[#This Row],[Est hours]],""))</f>
        <v>0.988636363636364</v>
      </c>
      <c r="T38" s="38">
        <f>IF(tblOrders[[#This Row],[Released]]="","",MAX(0,IF(tblOrders[[#This Row],[Shipped]]="",AsOf,tblOrders[[#This Row],[Shipped]])-tblOrders[[#This Row],[Due]]))</f>
        <v>5</v>
      </c>
      <c r="U38" s="38">
        <f>IF(tblOrders[[#This Row],[Released]]="","",IF(tblOrders[[#This Row],[Shipped]]="","",tblOrders[[#This Row],[Shipped]]-tblOrders[[#This Row],[Released]]))</f>
        <v>20</v>
      </c>
      <c r="V38" s="41" t="str">
        <f>IF(tblOrders[[#This Row],[Released]]="","",IF(tblOrders[[#This Row],[Shipped]]&lt;&gt;"","Complete",IF(tblOrders[[#This Row],[Due]]="","",IF(tblOrders[[#This Row],[Due]]&lt;AsOf,"Overdue",IF(tblOrders[[#This Row],[Due]]-AsOf&lt;=DueSoonDays,"Due soon","In progress")))))</f>
        <v>Complete</v>
      </c>
      <c r="W38" s="41" t="str">
        <f>IF(tblOrders[[#This Row],[Released]]="","",IF(OR(tblOrders[[#This Row],[Shipped]]="",tblOrders[[#This Row],[Due]]=""),"",IF(tblOrders[[#This Row],[Shipped]]&lt;=tblOrders[[#This Row],[Due]],"Yes","No")))</f>
        <v>No</v>
      </c>
      <c r="X38" s="42">
        <f>IF(tblOrders[[#This Row],[Released]]="","",IF(AND(tblOrders[[#This Row],[Shipped]]&lt;&gt;"",tblOrders[[#This Row],[Shipped]]&gt;=FFrom,tblOrders[[#This Row],[Shipped]]&lt;=FTo,OR(DashCustomer="",tblOrders[[#This Row],[Customer]]=DashCustomer)),tblOrders[[#This Row],[Shipped]],""))</f>
        <v>46266</v>
      </c>
      <c r="Y38" s="42">
        <f>IF(tblOrders[[#This Row],[Released]]="","",IF(AND(tblOrders[[#This Row],[Shipped]]="",OR(DashCustomer="",tblOrders[[#This Row],[Customer]]=DashCustomer)),tblOrders[[#This Row],[Released]],""))</f>
        <v/>
      </c>
      <c r="Z3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39" spans="2:26">
      <c r="B39" s="28" t="s">
        <v>207</v>
      </c>
      <c r="C39" s="28" t="s">
        <v>92</v>
      </c>
      <c r="D39" s="28" t="s">
        <v>208</v>
      </c>
      <c r="E39" s="31">
        <v>20</v>
      </c>
      <c r="F39" s="30">
        <v>46247</v>
      </c>
      <c r="G39" s="30">
        <v>46259</v>
      </c>
      <c r="H39" s="30">
        <v>46258</v>
      </c>
      <c r="I39" s="28"/>
      <c r="J39" s="29">
        <v>1360</v>
      </c>
      <c r="K39" s="37">
        <v>9</v>
      </c>
      <c r="L39" s="29">
        <v>10.75</v>
      </c>
      <c r="M39" s="29">
        <v>80</v>
      </c>
      <c r="N39" s="29">
        <v>80</v>
      </c>
      <c r="O39" s="38">
        <f>IF(tblOrders[[#This Row],[Released]]="","",tblOrders[[#This Row],[Est hours]]*EstRate+tblOrders[[#This Row],[Est material]])</f>
        <v>935</v>
      </c>
      <c r="P39" s="38">
        <f>IF(tblOrders[[#This Row],[Released]]="","",tblOrders[[#This Row],[Actual hours]]*CostRate+tblOrders[[#This Row],[Actual material]])</f>
        <v>1133.5</v>
      </c>
      <c r="Q39" s="38">
        <f>IF(tblOrders[[#This Row],[Released]]="","",IF(tblOrders[[#This Row],[Shipped]]="","",tblOrders[[#This Row],[Actual cost]]-tblOrders[[#This Row],[Est cost]]))</f>
        <v>198.5</v>
      </c>
      <c r="R39" s="39">
        <f>IF(tblOrders[[#This Row],[Released]]="","",IF(OR(tblOrders[[#This Row],[Shipped]]="",tblOrders[[#This Row],[Order value]]&lt;=0),"",(tblOrders[[#This Row],[Order value]]-tblOrders[[#This Row],[Actual cost]])/tblOrders[[#This Row],[Order value]]))</f>
        <v>0.166544117647059</v>
      </c>
      <c r="S39" s="40">
        <f>IF(tblOrders[[#This Row],[Released]]="","",IF(tblOrders[[#This Row],[Est hours]]&gt;0,tblOrders[[#This Row],[Actual hours]]/tblOrders[[#This Row],[Est hours]],""))</f>
        <v>1.19444444444444</v>
      </c>
      <c r="T39" s="38">
        <f>IF(tblOrders[[#This Row],[Released]]="","",MAX(0,IF(tblOrders[[#This Row],[Shipped]]="",AsOf,tblOrders[[#This Row],[Shipped]])-tblOrders[[#This Row],[Due]]))</f>
        <v>0</v>
      </c>
      <c r="U39" s="38">
        <f>IF(tblOrders[[#This Row],[Released]]="","",IF(tblOrders[[#This Row],[Shipped]]="","",tblOrders[[#This Row],[Shipped]]-tblOrders[[#This Row],[Released]]))</f>
        <v>11</v>
      </c>
      <c r="V39" s="41" t="str">
        <f>IF(tblOrders[[#This Row],[Released]]="","",IF(tblOrders[[#This Row],[Shipped]]&lt;&gt;"","Complete",IF(tblOrders[[#This Row],[Due]]="","",IF(tblOrders[[#This Row],[Due]]&lt;AsOf,"Overdue",IF(tblOrders[[#This Row],[Due]]-AsOf&lt;=DueSoonDays,"Due soon","In progress")))))</f>
        <v>Complete</v>
      </c>
      <c r="W39" s="41" t="str">
        <f>IF(tblOrders[[#This Row],[Released]]="","",IF(OR(tblOrders[[#This Row],[Shipped]]="",tblOrders[[#This Row],[Due]]=""),"",IF(tblOrders[[#This Row],[Shipped]]&lt;=tblOrders[[#This Row],[Due]],"Yes","No")))</f>
        <v>Yes</v>
      </c>
      <c r="X39" s="42">
        <f>IF(tblOrders[[#This Row],[Released]]="","",IF(AND(tblOrders[[#This Row],[Shipped]]&lt;&gt;"",tblOrders[[#This Row],[Shipped]]&gt;=FFrom,tblOrders[[#This Row],[Shipped]]&lt;=FTo,OR(DashCustomer="",tblOrders[[#This Row],[Customer]]=DashCustomer)),tblOrders[[#This Row],[Shipped]],""))</f>
        <v>46258</v>
      </c>
      <c r="Y39" s="42">
        <f>IF(tblOrders[[#This Row],[Released]]="","",IF(AND(tblOrders[[#This Row],[Shipped]]="",OR(DashCustomer="",tblOrders[[#This Row],[Customer]]=DashCustomer)),tblOrders[[#This Row],[Released]],""))</f>
        <v/>
      </c>
      <c r="Z39"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0" spans="2:26">
      <c r="B40" s="28" t="s">
        <v>209</v>
      </c>
      <c r="C40" s="28" t="s">
        <v>89</v>
      </c>
      <c r="D40" s="28" t="s">
        <v>210</v>
      </c>
      <c r="E40" s="31">
        <v>10</v>
      </c>
      <c r="F40" s="30">
        <v>46248</v>
      </c>
      <c r="G40" s="30">
        <v>46266</v>
      </c>
      <c r="H40" s="30">
        <v>46265</v>
      </c>
      <c r="I40" s="28"/>
      <c r="J40" s="29">
        <v>2170</v>
      </c>
      <c r="K40" s="37">
        <v>14</v>
      </c>
      <c r="L40" s="29">
        <v>15.75</v>
      </c>
      <c r="M40" s="29">
        <v>160</v>
      </c>
      <c r="N40" s="29">
        <v>160</v>
      </c>
      <c r="O40" s="38">
        <f>IF(tblOrders[[#This Row],[Released]]="","",tblOrders[[#This Row],[Est hours]]*EstRate+tblOrders[[#This Row],[Est material]])</f>
        <v>1490</v>
      </c>
      <c r="P40" s="38">
        <f>IF(tblOrders[[#This Row],[Released]]="","",tblOrders[[#This Row],[Actual hours]]*CostRate+tblOrders[[#This Row],[Actual material]])</f>
        <v>1703.5</v>
      </c>
      <c r="Q40" s="38">
        <f>IF(tblOrders[[#This Row],[Released]]="","",IF(tblOrders[[#This Row],[Shipped]]="","",tblOrders[[#This Row],[Actual cost]]-tblOrders[[#This Row],[Est cost]]))</f>
        <v>213.5</v>
      </c>
      <c r="R40" s="39">
        <f>IF(tblOrders[[#This Row],[Released]]="","",IF(OR(tblOrders[[#This Row],[Shipped]]="",tblOrders[[#This Row],[Order value]]&lt;=0),"",(tblOrders[[#This Row],[Order value]]-tblOrders[[#This Row],[Actual cost]])/tblOrders[[#This Row],[Order value]]))</f>
        <v>0.214976958525346</v>
      </c>
      <c r="S40" s="40">
        <f>IF(tblOrders[[#This Row],[Released]]="","",IF(tblOrders[[#This Row],[Est hours]]&gt;0,tblOrders[[#This Row],[Actual hours]]/tblOrders[[#This Row],[Est hours]],""))</f>
        <v>1.125</v>
      </c>
      <c r="T40" s="38">
        <f>IF(tblOrders[[#This Row],[Released]]="","",MAX(0,IF(tblOrders[[#This Row],[Shipped]]="",AsOf,tblOrders[[#This Row],[Shipped]])-tblOrders[[#This Row],[Due]]))</f>
        <v>0</v>
      </c>
      <c r="U40" s="38">
        <f>IF(tblOrders[[#This Row],[Released]]="","",IF(tblOrders[[#This Row],[Shipped]]="","",tblOrders[[#This Row],[Shipped]]-tblOrders[[#This Row],[Released]]))</f>
        <v>17</v>
      </c>
      <c r="V40" s="41" t="str">
        <f>IF(tblOrders[[#This Row],[Released]]="","",IF(tblOrders[[#This Row],[Shipped]]&lt;&gt;"","Complete",IF(tblOrders[[#This Row],[Due]]="","",IF(tblOrders[[#This Row],[Due]]&lt;AsOf,"Overdue",IF(tblOrders[[#This Row],[Due]]-AsOf&lt;=DueSoonDays,"Due soon","In progress")))))</f>
        <v>Complete</v>
      </c>
      <c r="W40" s="41" t="str">
        <f>IF(tblOrders[[#This Row],[Released]]="","",IF(OR(tblOrders[[#This Row],[Shipped]]="",tblOrders[[#This Row],[Due]]=""),"",IF(tblOrders[[#This Row],[Shipped]]&lt;=tblOrders[[#This Row],[Due]],"Yes","No")))</f>
        <v>Yes</v>
      </c>
      <c r="X40" s="42">
        <f>IF(tblOrders[[#This Row],[Released]]="","",IF(AND(tblOrders[[#This Row],[Shipped]]&lt;&gt;"",tblOrders[[#This Row],[Shipped]]&gt;=FFrom,tblOrders[[#This Row],[Shipped]]&lt;=FTo,OR(DashCustomer="",tblOrders[[#This Row],[Customer]]=DashCustomer)),tblOrders[[#This Row],[Shipped]],""))</f>
        <v>46265</v>
      </c>
      <c r="Y40" s="42">
        <f>IF(tblOrders[[#This Row],[Released]]="","",IF(AND(tblOrders[[#This Row],[Shipped]]="",OR(DashCustomer="",tblOrders[[#This Row],[Customer]]=DashCustomer)),tblOrders[[#This Row],[Released]],""))</f>
        <v/>
      </c>
      <c r="Z40"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1" spans="2:26">
      <c r="B41" s="28" t="s">
        <v>211</v>
      </c>
      <c r="C41" s="28" t="s">
        <v>98</v>
      </c>
      <c r="D41" s="28" t="s">
        <v>212</v>
      </c>
      <c r="E41" s="31">
        <v>50</v>
      </c>
      <c r="F41" s="30">
        <v>46251</v>
      </c>
      <c r="G41" s="30">
        <v>46272</v>
      </c>
      <c r="H41" s="30">
        <v>46286</v>
      </c>
      <c r="I41" s="28"/>
      <c r="J41" s="29">
        <v>2030</v>
      </c>
      <c r="K41" s="37">
        <v>12.5</v>
      </c>
      <c r="L41" s="29">
        <v>14.25</v>
      </c>
      <c r="M41" s="29">
        <v>275</v>
      </c>
      <c r="N41" s="29">
        <v>280</v>
      </c>
      <c r="O41" s="38">
        <f>IF(tblOrders[[#This Row],[Released]]="","",tblOrders[[#This Row],[Est hours]]*EstRate+tblOrders[[#This Row],[Est material]])</f>
        <v>1462.5</v>
      </c>
      <c r="P41" s="38">
        <f>IF(tblOrders[[#This Row],[Released]]="","",tblOrders[[#This Row],[Actual hours]]*CostRate+tblOrders[[#This Row],[Actual material]])</f>
        <v>1676.5</v>
      </c>
      <c r="Q41" s="38">
        <f>IF(tblOrders[[#This Row],[Released]]="","",IF(tblOrders[[#This Row],[Shipped]]="","",tblOrders[[#This Row],[Actual cost]]-tblOrders[[#This Row],[Est cost]]))</f>
        <v>214</v>
      </c>
      <c r="R41" s="39">
        <f>IF(tblOrders[[#This Row],[Released]]="","",IF(OR(tblOrders[[#This Row],[Shipped]]="",tblOrders[[#This Row],[Order value]]&lt;=0),"",(tblOrders[[#This Row],[Order value]]-tblOrders[[#This Row],[Actual cost]])/tblOrders[[#This Row],[Order value]]))</f>
        <v>0.174137931034483</v>
      </c>
      <c r="S41" s="40">
        <f>IF(tblOrders[[#This Row],[Released]]="","",IF(tblOrders[[#This Row],[Est hours]]&gt;0,tblOrders[[#This Row],[Actual hours]]/tblOrders[[#This Row],[Est hours]],""))</f>
        <v>1.14</v>
      </c>
      <c r="T41" s="38">
        <f>IF(tblOrders[[#This Row],[Released]]="","",MAX(0,IF(tblOrders[[#This Row],[Shipped]]="",AsOf,tblOrders[[#This Row],[Shipped]])-tblOrders[[#This Row],[Due]]))</f>
        <v>14</v>
      </c>
      <c r="U41" s="38">
        <f>IF(tblOrders[[#This Row],[Released]]="","",IF(tblOrders[[#This Row],[Shipped]]="","",tblOrders[[#This Row],[Shipped]]-tblOrders[[#This Row],[Released]]))</f>
        <v>35</v>
      </c>
      <c r="V41" s="41" t="str">
        <f>IF(tblOrders[[#This Row],[Released]]="","",IF(tblOrders[[#This Row],[Shipped]]&lt;&gt;"","Complete",IF(tblOrders[[#This Row],[Due]]="","",IF(tblOrders[[#This Row],[Due]]&lt;AsOf,"Overdue",IF(tblOrders[[#This Row],[Due]]-AsOf&lt;=DueSoonDays,"Due soon","In progress")))))</f>
        <v>Complete</v>
      </c>
      <c r="W41" s="41" t="str">
        <f>IF(tblOrders[[#This Row],[Released]]="","",IF(OR(tblOrders[[#This Row],[Shipped]]="",tblOrders[[#This Row],[Due]]=""),"",IF(tblOrders[[#This Row],[Shipped]]&lt;=tblOrders[[#This Row],[Due]],"Yes","No")))</f>
        <v>No</v>
      </c>
      <c r="X41" s="42">
        <f>IF(tblOrders[[#This Row],[Released]]="","",IF(AND(tblOrders[[#This Row],[Shipped]]&lt;&gt;"",tblOrders[[#This Row],[Shipped]]&gt;=FFrom,tblOrders[[#This Row],[Shipped]]&lt;=FTo,OR(DashCustomer="",tblOrders[[#This Row],[Customer]]=DashCustomer)),tblOrders[[#This Row],[Shipped]],""))</f>
        <v>46286</v>
      </c>
      <c r="Y41" s="42">
        <f>IF(tblOrders[[#This Row],[Released]]="","",IF(AND(tblOrders[[#This Row],[Shipped]]="",OR(DashCustomer="",tblOrders[[#This Row],[Customer]]=DashCustomer)),tblOrders[[#This Row],[Released]],""))</f>
        <v/>
      </c>
      <c r="Z41"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2" spans="2:26">
      <c r="B42" s="28" t="s">
        <v>213</v>
      </c>
      <c r="C42" s="28" t="s">
        <v>89</v>
      </c>
      <c r="D42" s="28" t="s">
        <v>214</v>
      </c>
      <c r="E42" s="31">
        <v>2</v>
      </c>
      <c r="F42" s="30">
        <v>46251</v>
      </c>
      <c r="G42" s="30">
        <v>46267</v>
      </c>
      <c r="H42" s="30">
        <v>46267</v>
      </c>
      <c r="I42" s="28"/>
      <c r="J42" s="29">
        <v>4290</v>
      </c>
      <c r="K42" s="37">
        <v>29</v>
      </c>
      <c r="L42" s="29">
        <v>35</v>
      </c>
      <c r="M42" s="29">
        <v>145</v>
      </c>
      <c r="N42" s="29">
        <v>155</v>
      </c>
      <c r="O42" s="38">
        <f>IF(tblOrders[[#This Row],[Released]]="","",tblOrders[[#This Row],[Est hours]]*EstRate+tblOrders[[#This Row],[Est material]])</f>
        <v>2900</v>
      </c>
      <c r="P42" s="38">
        <f>IF(tblOrders[[#This Row],[Released]]="","",tblOrders[[#This Row],[Actual hours]]*CostRate+tblOrders[[#This Row],[Actual material]])</f>
        <v>3585</v>
      </c>
      <c r="Q42" s="38">
        <f>IF(tblOrders[[#This Row],[Released]]="","",IF(tblOrders[[#This Row],[Shipped]]="","",tblOrders[[#This Row],[Actual cost]]-tblOrders[[#This Row],[Est cost]]))</f>
        <v>685</v>
      </c>
      <c r="R42" s="39">
        <f>IF(tblOrders[[#This Row],[Released]]="","",IF(OR(tblOrders[[#This Row],[Shipped]]="",tblOrders[[#This Row],[Order value]]&lt;=0),"",(tblOrders[[#This Row],[Order value]]-tblOrders[[#This Row],[Actual cost]])/tblOrders[[#This Row],[Order value]]))</f>
        <v>0.164335664335664</v>
      </c>
      <c r="S42" s="40">
        <f>IF(tblOrders[[#This Row],[Released]]="","",IF(tblOrders[[#This Row],[Est hours]]&gt;0,tblOrders[[#This Row],[Actual hours]]/tblOrders[[#This Row],[Est hours]],""))</f>
        <v>1.20689655172414</v>
      </c>
      <c r="T42" s="38">
        <f>IF(tblOrders[[#This Row],[Released]]="","",MAX(0,IF(tblOrders[[#This Row],[Shipped]]="",AsOf,tblOrders[[#This Row],[Shipped]])-tblOrders[[#This Row],[Due]]))</f>
        <v>0</v>
      </c>
      <c r="U42" s="38">
        <f>IF(tblOrders[[#This Row],[Released]]="","",IF(tblOrders[[#This Row],[Shipped]]="","",tblOrders[[#This Row],[Shipped]]-tblOrders[[#This Row],[Released]]))</f>
        <v>16</v>
      </c>
      <c r="V42" s="41" t="str">
        <f>IF(tblOrders[[#This Row],[Released]]="","",IF(tblOrders[[#This Row],[Shipped]]&lt;&gt;"","Complete",IF(tblOrders[[#This Row],[Due]]="","",IF(tblOrders[[#This Row],[Due]]&lt;AsOf,"Overdue",IF(tblOrders[[#This Row],[Due]]-AsOf&lt;=DueSoonDays,"Due soon","In progress")))))</f>
        <v>Complete</v>
      </c>
      <c r="W42" s="41" t="str">
        <f>IF(tblOrders[[#This Row],[Released]]="","",IF(OR(tblOrders[[#This Row],[Shipped]]="",tblOrders[[#This Row],[Due]]=""),"",IF(tblOrders[[#This Row],[Shipped]]&lt;=tblOrders[[#This Row],[Due]],"Yes","No")))</f>
        <v>Yes</v>
      </c>
      <c r="X42" s="42">
        <f>IF(tblOrders[[#This Row],[Released]]="","",IF(AND(tblOrders[[#This Row],[Shipped]]&lt;&gt;"",tblOrders[[#This Row],[Shipped]]&gt;=FFrom,tblOrders[[#This Row],[Shipped]]&lt;=FTo,OR(DashCustomer="",tblOrders[[#This Row],[Customer]]=DashCustomer)),tblOrders[[#This Row],[Shipped]],""))</f>
        <v>46267</v>
      </c>
      <c r="Y42" s="42">
        <f>IF(tblOrders[[#This Row],[Released]]="","",IF(AND(tblOrders[[#This Row],[Shipped]]="",OR(DashCustomer="",tblOrders[[#This Row],[Customer]]=DashCustomer)),tblOrders[[#This Row],[Released]],""))</f>
        <v/>
      </c>
      <c r="Z42"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3" spans="2:26">
      <c r="B43" s="28" t="s">
        <v>215</v>
      </c>
      <c r="C43" s="28" t="s">
        <v>83</v>
      </c>
      <c r="D43" s="28" t="s">
        <v>216</v>
      </c>
      <c r="E43" s="31">
        <v>12</v>
      </c>
      <c r="F43" s="30">
        <v>46253</v>
      </c>
      <c r="G43" s="30">
        <v>46286</v>
      </c>
      <c r="H43" s="30">
        <v>46294</v>
      </c>
      <c r="I43" s="28"/>
      <c r="J43" s="29">
        <v>3920</v>
      </c>
      <c r="K43" s="37">
        <v>26.5</v>
      </c>
      <c r="L43" s="29">
        <v>26.25</v>
      </c>
      <c r="M43" s="29">
        <v>420</v>
      </c>
      <c r="N43" s="29">
        <v>455</v>
      </c>
      <c r="O43" s="38">
        <f>IF(tblOrders[[#This Row],[Released]]="","",tblOrders[[#This Row],[Est hours]]*EstRate+tblOrders[[#This Row],[Est material]])</f>
        <v>2937.5</v>
      </c>
      <c r="P43" s="38">
        <f>IF(tblOrders[[#This Row],[Released]]="","",tblOrders[[#This Row],[Actual hours]]*CostRate+tblOrders[[#This Row],[Actual material]])</f>
        <v>3027.5</v>
      </c>
      <c r="Q43" s="38">
        <f>IF(tblOrders[[#This Row],[Released]]="","",IF(tblOrders[[#This Row],[Shipped]]="","",tblOrders[[#This Row],[Actual cost]]-tblOrders[[#This Row],[Est cost]]))</f>
        <v>90</v>
      </c>
      <c r="R43" s="39">
        <f>IF(tblOrders[[#This Row],[Released]]="","",IF(OR(tblOrders[[#This Row],[Shipped]]="",tblOrders[[#This Row],[Order value]]&lt;=0),"",(tblOrders[[#This Row],[Order value]]-tblOrders[[#This Row],[Actual cost]])/tblOrders[[#This Row],[Order value]]))</f>
        <v>0.227678571428571</v>
      </c>
      <c r="S43" s="40">
        <f>IF(tblOrders[[#This Row],[Released]]="","",IF(tblOrders[[#This Row],[Est hours]]&gt;0,tblOrders[[#This Row],[Actual hours]]/tblOrders[[#This Row],[Est hours]],""))</f>
        <v>0.990566037735849</v>
      </c>
      <c r="T43" s="38">
        <f>IF(tblOrders[[#This Row],[Released]]="","",MAX(0,IF(tblOrders[[#This Row],[Shipped]]="",AsOf,tblOrders[[#This Row],[Shipped]])-tblOrders[[#This Row],[Due]]))</f>
        <v>8</v>
      </c>
      <c r="U43" s="38">
        <f>IF(tblOrders[[#This Row],[Released]]="","",IF(tblOrders[[#This Row],[Shipped]]="","",tblOrders[[#This Row],[Shipped]]-tblOrders[[#This Row],[Released]]))</f>
        <v>41</v>
      </c>
      <c r="V43" s="41" t="str">
        <f>IF(tblOrders[[#This Row],[Released]]="","",IF(tblOrders[[#This Row],[Shipped]]&lt;&gt;"","Complete",IF(tblOrders[[#This Row],[Due]]="","",IF(tblOrders[[#This Row],[Due]]&lt;AsOf,"Overdue",IF(tblOrders[[#This Row],[Due]]-AsOf&lt;=DueSoonDays,"Due soon","In progress")))))</f>
        <v>Complete</v>
      </c>
      <c r="W43" s="41" t="str">
        <f>IF(tblOrders[[#This Row],[Released]]="","",IF(OR(tblOrders[[#This Row],[Shipped]]="",tblOrders[[#This Row],[Due]]=""),"",IF(tblOrders[[#This Row],[Shipped]]&lt;=tblOrders[[#This Row],[Due]],"Yes","No")))</f>
        <v>No</v>
      </c>
      <c r="X43" s="42">
        <f>IF(tblOrders[[#This Row],[Released]]="","",IF(AND(tblOrders[[#This Row],[Shipped]]&lt;&gt;"",tblOrders[[#This Row],[Shipped]]&gt;=FFrom,tblOrders[[#This Row],[Shipped]]&lt;=FTo,OR(DashCustomer="",tblOrders[[#This Row],[Customer]]=DashCustomer)),tblOrders[[#This Row],[Shipped]],""))</f>
        <v>46294</v>
      </c>
      <c r="Y43" s="42">
        <f>IF(tblOrders[[#This Row],[Released]]="","",IF(AND(tblOrders[[#This Row],[Shipped]]="",OR(DashCustomer="",tblOrders[[#This Row],[Customer]]=DashCustomer)),tblOrders[[#This Row],[Released]],""))</f>
        <v/>
      </c>
      <c r="Z43"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4" spans="2:26">
      <c r="B44" s="28" t="s">
        <v>217</v>
      </c>
      <c r="C44" s="28" t="s">
        <v>83</v>
      </c>
      <c r="D44" s="28" t="s">
        <v>218</v>
      </c>
      <c r="E44" s="31">
        <v>1</v>
      </c>
      <c r="F44" s="30">
        <v>46254</v>
      </c>
      <c r="G44" s="30">
        <v>46279</v>
      </c>
      <c r="H44" s="30">
        <v>46288</v>
      </c>
      <c r="I44" s="28"/>
      <c r="J44" s="29">
        <v>8880</v>
      </c>
      <c r="K44" s="37">
        <v>54.5</v>
      </c>
      <c r="L44" s="29">
        <v>63</v>
      </c>
      <c r="M44" s="29">
        <v>655</v>
      </c>
      <c r="N44" s="29">
        <v>660</v>
      </c>
      <c r="O44" s="38">
        <f>IF(tblOrders[[#This Row],[Released]]="","",tblOrders[[#This Row],[Est hours]]*EstRate+tblOrders[[#This Row],[Est material]])</f>
        <v>5832.5</v>
      </c>
      <c r="P44" s="38">
        <f>IF(tblOrders[[#This Row],[Released]]="","",tblOrders[[#This Row],[Actual hours]]*CostRate+tblOrders[[#This Row],[Actual material]])</f>
        <v>6834</v>
      </c>
      <c r="Q44" s="38">
        <f>IF(tblOrders[[#This Row],[Released]]="","",IF(tblOrders[[#This Row],[Shipped]]="","",tblOrders[[#This Row],[Actual cost]]-tblOrders[[#This Row],[Est cost]]))</f>
        <v>1001.5</v>
      </c>
      <c r="R44" s="39">
        <f>IF(tblOrders[[#This Row],[Released]]="","",IF(OR(tblOrders[[#This Row],[Shipped]]="",tblOrders[[#This Row],[Order value]]&lt;=0),"",(tblOrders[[#This Row],[Order value]]-tblOrders[[#This Row],[Actual cost]])/tblOrders[[#This Row],[Order value]]))</f>
        <v>0.230405405405405</v>
      </c>
      <c r="S44" s="40">
        <f>IF(tblOrders[[#This Row],[Released]]="","",IF(tblOrders[[#This Row],[Est hours]]&gt;0,tblOrders[[#This Row],[Actual hours]]/tblOrders[[#This Row],[Est hours]],""))</f>
        <v>1.15596330275229</v>
      </c>
      <c r="T44" s="38">
        <f>IF(tblOrders[[#This Row],[Released]]="","",MAX(0,IF(tblOrders[[#This Row],[Shipped]]="",AsOf,tblOrders[[#This Row],[Shipped]])-tblOrders[[#This Row],[Due]]))</f>
        <v>9</v>
      </c>
      <c r="U44" s="38">
        <f>IF(tblOrders[[#This Row],[Released]]="","",IF(tblOrders[[#This Row],[Shipped]]="","",tblOrders[[#This Row],[Shipped]]-tblOrders[[#This Row],[Released]]))</f>
        <v>34</v>
      </c>
      <c r="V44" s="41" t="str">
        <f>IF(tblOrders[[#This Row],[Released]]="","",IF(tblOrders[[#This Row],[Shipped]]&lt;&gt;"","Complete",IF(tblOrders[[#This Row],[Due]]="","",IF(tblOrders[[#This Row],[Due]]&lt;AsOf,"Overdue",IF(tblOrders[[#This Row],[Due]]-AsOf&lt;=DueSoonDays,"Due soon","In progress")))))</f>
        <v>Complete</v>
      </c>
      <c r="W44" s="41" t="str">
        <f>IF(tblOrders[[#This Row],[Released]]="","",IF(OR(tblOrders[[#This Row],[Shipped]]="",tblOrders[[#This Row],[Due]]=""),"",IF(tblOrders[[#This Row],[Shipped]]&lt;=tblOrders[[#This Row],[Due]],"Yes","No")))</f>
        <v>No</v>
      </c>
      <c r="X44" s="42">
        <f>IF(tblOrders[[#This Row],[Released]]="","",IF(AND(tblOrders[[#This Row],[Shipped]]&lt;&gt;"",tblOrders[[#This Row],[Shipped]]&gt;=FFrom,tblOrders[[#This Row],[Shipped]]&lt;=FTo,OR(DashCustomer="",tblOrders[[#This Row],[Customer]]=DashCustomer)),tblOrders[[#This Row],[Shipped]],""))</f>
        <v>46288</v>
      </c>
      <c r="Y44" s="42">
        <f>IF(tblOrders[[#This Row],[Released]]="","",IF(AND(tblOrders[[#This Row],[Shipped]]="",OR(DashCustomer="",tblOrders[[#This Row],[Customer]]=DashCustomer)),tblOrders[[#This Row],[Released]],""))</f>
        <v/>
      </c>
      <c r="Z44"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5" spans="2:26">
      <c r="B45" s="28" t="s">
        <v>219</v>
      </c>
      <c r="C45" s="28" t="s">
        <v>86</v>
      </c>
      <c r="D45" s="28" t="s">
        <v>220</v>
      </c>
      <c r="E45" s="31">
        <v>5</v>
      </c>
      <c r="F45" s="30">
        <v>46255</v>
      </c>
      <c r="G45" s="30">
        <v>46268</v>
      </c>
      <c r="H45" s="30">
        <v>46268</v>
      </c>
      <c r="I45" s="28"/>
      <c r="J45" s="29">
        <v>2840</v>
      </c>
      <c r="K45" s="37">
        <v>17.5</v>
      </c>
      <c r="L45" s="29">
        <v>18</v>
      </c>
      <c r="M45" s="29">
        <v>365</v>
      </c>
      <c r="N45" s="29">
        <v>350</v>
      </c>
      <c r="O45" s="38">
        <f>IF(tblOrders[[#This Row],[Released]]="","",tblOrders[[#This Row],[Est hours]]*EstRate+tblOrders[[#This Row],[Est material]])</f>
        <v>2027.5</v>
      </c>
      <c r="P45" s="38">
        <f>IF(tblOrders[[#This Row],[Released]]="","",tblOrders[[#This Row],[Actual hours]]*CostRate+tblOrders[[#This Row],[Actual material]])</f>
        <v>2114</v>
      </c>
      <c r="Q45" s="38">
        <f>IF(tblOrders[[#This Row],[Released]]="","",IF(tblOrders[[#This Row],[Shipped]]="","",tblOrders[[#This Row],[Actual cost]]-tblOrders[[#This Row],[Est cost]]))</f>
        <v>86.5</v>
      </c>
      <c r="R45" s="39">
        <f>IF(tblOrders[[#This Row],[Released]]="","",IF(OR(tblOrders[[#This Row],[Shipped]]="",tblOrders[[#This Row],[Order value]]&lt;=0),"",(tblOrders[[#This Row],[Order value]]-tblOrders[[#This Row],[Actual cost]])/tblOrders[[#This Row],[Order value]]))</f>
        <v>0.255633802816901</v>
      </c>
      <c r="S45" s="40">
        <f>IF(tblOrders[[#This Row],[Released]]="","",IF(tblOrders[[#This Row],[Est hours]]&gt;0,tblOrders[[#This Row],[Actual hours]]/tblOrders[[#This Row],[Est hours]],""))</f>
        <v>1.02857142857143</v>
      </c>
      <c r="T45" s="38">
        <f>IF(tblOrders[[#This Row],[Released]]="","",MAX(0,IF(tblOrders[[#This Row],[Shipped]]="",AsOf,tblOrders[[#This Row],[Shipped]])-tblOrders[[#This Row],[Due]]))</f>
        <v>0</v>
      </c>
      <c r="U45" s="38">
        <f>IF(tblOrders[[#This Row],[Released]]="","",IF(tblOrders[[#This Row],[Shipped]]="","",tblOrders[[#This Row],[Shipped]]-tblOrders[[#This Row],[Released]]))</f>
        <v>13</v>
      </c>
      <c r="V45" s="41" t="str">
        <f>IF(tblOrders[[#This Row],[Released]]="","",IF(tblOrders[[#This Row],[Shipped]]&lt;&gt;"","Complete",IF(tblOrders[[#This Row],[Due]]="","",IF(tblOrders[[#This Row],[Due]]&lt;AsOf,"Overdue",IF(tblOrders[[#This Row],[Due]]-AsOf&lt;=DueSoonDays,"Due soon","In progress")))))</f>
        <v>Complete</v>
      </c>
      <c r="W45" s="41" t="str">
        <f>IF(tblOrders[[#This Row],[Released]]="","",IF(OR(tblOrders[[#This Row],[Shipped]]="",tblOrders[[#This Row],[Due]]=""),"",IF(tblOrders[[#This Row],[Shipped]]&lt;=tblOrders[[#This Row],[Due]],"Yes","No")))</f>
        <v>Yes</v>
      </c>
      <c r="X45" s="42">
        <f>IF(tblOrders[[#This Row],[Released]]="","",IF(AND(tblOrders[[#This Row],[Shipped]]&lt;&gt;"",tblOrders[[#This Row],[Shipped]]&gt;=FFrom,tblOrders[[#This Row],[Shipped]]&lt;=FTo,OR(DashCustomer="",tblOrders[[#This Row],[Customer]]=DashCustomer)),tblOrders[[#This Row],[Shipped]],""))</f>
        <v>46268</v>
      </c>
      <c r="Y45" s="42">
        <f>IF(tblOrders[[#This Row],[Released]]="","",IF(AND(tblOrders[[#This Row],[Shipped]]="",OR(DashCustomer="",tblOrders[[#This Row],[Customer]]=DashCustomer)),tblOrders[[#This Row],[Released]],""))</f>
        <v/>
      </c>
      <c r="Z45"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6" spans="2:26">
      <c r="B46" s="28" t="s">
        <v>221</v>
      </c>
      <c r="C46" s="28" t="s">
        <v>86</v>
      </c>
      <c r="D46" s="28" t="s">
        <v>222</v>
      </c>
      <c r="E46" s="31">
        <v>2</v>
      </c>
      <c r="F46" s="30">
        <v>46258</v>
      </c>
      <c r="G46" s="30">
        <v>46269</v>
      </c>
      <c r="H46" s="30">
        <v>46268</v>
      </c>
      <c r="I46" s="28"/>
      <c r="J46" s="29">
        <v>2770</v>
      </c>
      <c r="K46" s="37">
        <v>19.5</v>
      </c>
      <c r="L46" s="29">
        <v>18.5</v>
      </c>
      <c r="M46" s="29">
        <v>180</v>
      </c>
      <c r="N46" s="29">
        <v>195</v>
      </c>
      <c r="O46" s="38">
        <f>IF(tblOrders[[#This Row],[Released]]="","",tblOrders[[#This Row],[Est hours]]*EstRate+tblOrders[[#This Row],[Est material]])</f>
        <v>2032.5</v>
      </c>
      <c r="P46" s="38">
        <f>IF(tblOrders[[#This Row],[Released]]="","",tblOrders[[#This Row],[Actual hours]]*CostRate+tblOrders[[#This Row],[Actual material]])</f>
        <v>2008</v>
      </c>
      <c r="Q46" s="38">
        <f>IF(tblOrders[[#This Row],[Released]]="","",IF(tblOrders[[#This Row],[Shipped]]="","",tblOrders[[#This Row],[Actual cost]]-tblOrders[[#This Row],[Est cost]]))</f>
        <v>-24.5</v>
      </c>
      <c r="R46" s="39">
        <f>IF(tblOrders[[#This Row],[Released]]="","",IF(OR(tblOrders[[#This Row],[Shipped]]="",tblOrders[[#This Row],[Order value]]&lt;=0),"",(tblOrders[[#This Row],[Order value]]-tblOrders[[#This Row],[Actual cost]])/tblOrders[[#This Row],[Order value]]))</f>
        <v>0.275090252707581</v>
      </c>
      <c r="S46" s="40">
        <f>IF(tblOrders[[#This Row],[Released]]="","",IF(tblOrders[[#This Row],[Est hours]]&gt;0,tblOrders[[#This Row],[Actual hours]]/tblOrders[[#This Row],[Est hours]],""))</f>
        <v>0.948717948717949</v>
      </c>
      <c r="T46" s="38">
        <f>IF(tblOrders[[#This Row],[Released]]="","",MAX(0,IF(tblOrders[[#This Row],[Shipped]]="",AsOf,tblOrders[[#This Row],[Shipped]])-tblOrders[[#This Row],[Due]]))</f>
        <v>0</v>
      </c>
      <c r="U46" s="38">
        <f>IF(tblOrders[[#This Row],[Released]]="","",IF(tblOrders[[#This Row],[Shipped]]="","",tblOrders[[#This Row],[Shipped]]-tblOrders[[#This Row],[Released]]))</f>
        <v>10</v>
      </c>
      <c r="V46" s="41" t="str">
        <f>IF(tblOrders[[#This Row],[Released]]="","",IF(tblOrders[[#This Row],[Shipped]]&lt;&gt;"","Complete",IF(tblOrders[[#This Row],[Due]]="","",IF(tblOrders[[#This Row],[Due]]&lt;AsOf,"Overdue",IF(tblOrders[[#This Row],[Due]]-AsOf&lt;=DueSoonDays,"Due soon","In progress")))))</f>
        <v>Complete</v>
      </c>
      <c r="W46" s="41" t="str">
        <f>IF(tblOrders[[#This Row],[Released]]="","",IF(OR(tblOrders[[#This Row],[Shipped]]="",tblOrders[[#This Row],[Due]]=""),"",IF(tblOrders[[#This Row],[Shipped]]&lt;=tblOrders[[#This Row],[Due]],"Yes","No")))</f>
        <v>Yes</v>
      </c>
      <c r="X46" s="42">
        <f>IF(tblOrders[[#This Row],[Released]]="","",IF(AND(tblOrders[[#This Row],[Shipped]]&lt;&gt;"",tblOrders[[#This Row],[Shipped]]&gt;=FFrom,tblOrders[[#This Row],[Shipped]]&lt;=FTo,OR(DashCustomer="",tblOrders[[#This Row],[Customer]]=DashCustomer)),tblOrders[[#This Row],[Shipped]],""))</f>
        <v>46268</v>
      </c>
      <c r="Y46" s="42">
        <f>IF(tblOrders[[#This Row],[Released]]="","",IF(AND(tblOrders[[#This Row],[Shipped]]="",OR(DashCustomer="",tblOrders[[#This Row],[Customer]]=DashCustomer)),tblOrders[[#This Row],[Released]],""))</f>
        <v/>
      </c>
      <c r="Z46"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7" spans="2:26">
      <c r="B47" s="28" t="s">
        <v>223</v>
      </c>
      <c r="C47" s="28" t="s">
        <v>89</v>
      </c>
      <c r="D47" s="28" t="s">
        <v>224</v>
      </c>
      <c r="E47" s="31">
        <v>20</v>
      </c>
      <c r="F47" s="30">
        <v>46258</v>
      </c>
      <c r="G47" s="30">
        <v>46279</v>
      </c>
      <c r="H47" s="30">
        <v>46275</v>
      </c>
      <c r="I47" s="28"/>
      <c r="J47" s="29">
        <v>3540</v>
      </c>
      <c r="K47" s="37">
        <v>23.5</v>
      </c>
      <c r="L47" s="29">
        <v>31.75</v>
      </c>
      <c r="M47" s="29">
        <v>135</v>
      </c>
      <c r="N47" s="29">
        <v>145</v>
      </c>
      <c r="O47" s="38">
        <f>IF(tblOrders[[#This Row],[Released]]="","",tblOrders[[#This Row],[Est hours]]*EstRate+tblOrders[[#This Row],[Est material]])</f>
        <v>2367.5</v>
      </c>
      <c r="P47" s="38">
        <f>IF(tblOrders[[#This Row],[Released]]="","",tblOrders[[#This Row],[Actual hours]]*CostRate+tblOrders[[#This Row],[Actual material]])</f>
        <v>3256.5</v>
      </c>
      <c r="Q47" s="38">
        <f>IF(tblOrders[[#This Row],[Released]]="","",IF(tblOrders[[#This Row],[Shipped]]="","",tblOrders[[#This Row],[Actual cost]]-tblOrders[[#This Row],[Est cost]]))</f>
        <v>889</v>
      </c>
      <c r="R47" s="39">
        <f>IF(tblOrders[[#This Row],[Released]]="","",IF(OR(tblOrders[[#This Row],[Shipped]]="",tblOrders[[#This Row],[Order value]]&lt;=0),"",(tblOrders[[#This Row],[Order value]]-tblOrders[[#This Row],[Actual cost]])/tblOrders[[#This Row],[Order value]]))</f>
        <v>0.0800847457627119</v>
      </c>
      <c r="S47" s="40">
        <f>IF(tblOrders[[#This Row],[Released]]="","",IF(tblOrders[[#This Row],[Est hours]]&gt;0,tblOrders[[#This Row],[Actual hours]]/tblOrders[[#This Row],[Est hours]],""))</f>
        <v>1.35106382978723</v>
      </c>
      <c r="T47" s="38">
        <f>IF(tblOrders[[#This Row],[Released]]="","",MAX(0,IF(tblOrders[[#This Row],[Shipped]]="",AsOf,tblOrders[[#This Row],[Shipped]])-tblOrders[[#This Row],[Due]]))</f>
        <v>0</v>
      </c>
      <c r="U47" s="38">
        <f>IF(tblOrders[[#This Row],[Released]]="","",IF(tblOrders[[#This Row],[Shipped]]="","",tblOrders[[#This Row],[Shipped]]-tblOrders[[#This Row],[Released]]))</f>
        <v>17</v>
      </c>
      <c r="V47" s="41" t="str">
        <f>IF(tblOrders[[#This Row],[Released]]="","",IF(tblOrders[[#This Row],[Shipped]]&lt;&gt;"","Complete",IF(tblOrders[[#This Row],[Due]]="","",IF(tblOrders[[#This Row],[Due]]&lt;AsOf,"Overdue",IF(tblOrders[[#This Row],[Due]]-AsOf&lt;=DueSoonDays,"Due soon","In progress")))))</f>
        <v>Complete</v>
      </c>
      <c r="W47" s="41" t="str">
        <f>IF(tblOrders[[#This Row],[Released]]="","",IF(OR(tblOrders[[#This Row],[Shipped]]="",tblOrders[[#This Row],[Due]]=""),"",IF(tblOrders[[#This Row],[Shipped]]&lt;=tblOrders[[#This Row],[Due]],"Yes","No")))</f>
        <v>Yes</v>
      </c>
      <c r="X47" s="42">
        <f>IF(tblOrders[[#This Row],[Released]]="","",IF(AND(tblOrders[[#This Row],[Shipped]]&lt;&gt;"",tblOrders[[#This Row],[Shipped]]&gt;=FFrom,tblOrders[[#This Row],[Shipped]]&lt;=FTo,OR(DashCustomer="",tblOrders[[#This Row],[Customer]]=DashCustomer)),tblOrders[[#This Row],[Shipped]],""))</f>
        <v>46275</v>
      </c>
      <c r="Y47" s="42">
        <f>IF(tblOrders[[#This Row],[Released]]="","",IF(AND(tblOrders[[#This Row],[Shipped]]="",OR(DashCustomer="",tblOrders[[#This Row],[Customer]]=DashCustomer)),tblOrders[[#This Row],[Released]],""))</f>
        <v/>
      </c>
      <c r="Z4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8" spans="2:26">
      <c r="B48" s="28" t="s">
        <v>225</v>
      </c>
      <c r="C48" s="28" t="s">
        <v>98</v>
      </c>
      <c r="D48" s="28" t="s">
        <v>226</v>
      </c>
      <c r="E48" s="31">
        <v>100</v>
      </c>
      <c r="F48" s="30">
        <v>46259</v>
      </c>
      <c r="G48" s="30">
        <v>46273</v>
      </c>
      <c r="H48" s="30">
        <v>46286</v>
      </c>
      <c r="I48" s="28"/>
      <c r="J48" s="29">
        <v>1280</v>
      </c>
      <c r="K48" s="37">
        <v>8.5</v>
      </c>
      <c r="L48" s="29">
        <v>10.75</v>
      </c>
      <c r="M48" s="29">
        <v>40</v>
      </c>
      <c r="N48" s="29">
        <v>40</v>
      </c>
      <c r="O48" s="38">
        <f>IF(tblOrders[[#This Row],[Released]]="","",tblOrders[[#This Row],[Est hours]]*EstRate+tblOrders[[#This Row],[Est material]])</f>
        <v>847.5</v>
      </c>
      <c r="P48" s="38">
        <f>IF(tblOrders[[#This Row],[Released]]="","",tblOrders[[#This Row],[Actual hours]]*CostRate+tblOrders[[#This Row],[Actual material]])</f>
        <v>1093.5</v>
      </c>
      <c r="Q48" s="38">
        <f>IF(tblOrders[[#This Row],[Released]]="","",IF(tblOrders[[#This Row],[Shipped]]="","",tblOrders[[#This Row],[Actual cost]]-tblOrders[[#This Row],[Est cost]]))</f>
        <v>246</v>
      </c>
      <c r="R48" s="39">
        <f>IF(tblOrders[[#This Row],[Released]]="","",IF(OR(tblOrders[[#This Row],[Shipped]]="",tblOrders[[#This Row],[Order value]]&lt;=0),"",(tblOrders[[#This Row],[Order value]]-tblOrders[[#This Row],[Actual cost]])/tblOrders[[#This Row],[Order value]]))</f>
        <v>0.145703125</v>
      </c>
      <c r="S48" s="40">
        <f>IF(tblOrders[[#This Row],[Released]]="","",IF(tblOrders[[#This Row],[Est hours]]&gt;0,tblOrders[[#This Row],[Actual hours]]/tblOrders[[#This Row],[Est hours]],""))</f>
        <v>1.26470588235294</v>
      </c>
      <c r="T48" s="38">
        <f>IF(tblOrders[[#This Row],[Released]]="","",MAX(0,IF(tblOrders[[#This Row],[Shipped]]="",AsOf,tblOrders[[#This Row],[Shipped]])-tblOrders[[#This Row],[Due]]))</f>
        <v>13</v>
      </c>
      <c r="U48" s="38">
        <f>IF(tblOrders[[#This Row],[Released]]="","",IF(tblOrders[[#This Row],[Shipped]]="","",tblOrders[[#This Row],[Shipped]]-tblOrders[[#This Row],[Released]]))</f>
        <v>27</v>
      </c>
      <c r="V48" s="41" t="str">
        <f>IF(tblOrders[[#This Row],[Released]]="","",IF(tblOrders[[#This Row],[Shipped]]&lt;&gt;"","Complete",IF(tblOrders[[#This Row],[Due]]="","",IF(tblOrders[[#This Row],[Due]]&lt;AsOf,"Overdue",IF(tblOrders[[#This Row],[Due]]-AsOf&lt;=DueSoonDays,"Due soon","In progress")))))</f>
        <v>Complete</v>
      </c>
      <c r="W48" s="41" t="str">
        <f>IF(tblOrders[[#This Row],[Released]]="","",IF(OR(tblOrders[[#This Row],[Shipped]]="",tblOrders[[#This Row],[Due]]=""),"",IF(tblOrders[[#This Row],[Shipped]]&lt;=tblOrders[[#This Row],[Due]],"Yes","No")))</f>
        <v>No</v>
      </c>
      <c r="X48" s="42">
        <f>IF(tblOrders[[#This Row],[Released]]="","",IF(AND(tblOrders[[#This Row],[Shipped]]&lt;&gt;"",tblOrders[[#This Row],[Shipped]]&gt;=FFrom,tblOrders[[#This Row],[Shipped]]&lt;=FTo,OR(DashCustomer="",tblOrders[[#This Row],[Customer]]=DashCustomer)),tblOrders[[#This Row],[Shipped]],""))</f>
        <v>46286</v>
      </c>
      <c r="Y48" s="42">
        <f>IF(tblOrders[[#This Row],[Released]]="","",IF(AND(tblOrders[[#This Row],[Shipped]]="",OR(DashCustomer="",tblOrders[[#This Row],[Customer]]=DashCustomer)),tblOrders[[#This Row],[Released]],""))</f>
        <v/>
      </c>
      <c r="Z4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49" spans="2:26">
      <c r="B49" s="28" t="s">
        <v>227</v>
      </c>
      <c r="C49" s="28" t="s">
        <v>86</v>
      </c>
      <c r="D49" s="28" t="s">
        <v>228</v>
      </c>
      <c r="E49" s="31">
        <v>2</v>
      </c>
      <c r="F49" s="30">
        <v>46261</v>
      </c>
      <c r="G49" s="30">
        <v>46276</v>
      </c>
      <c r="H49" s="30">
        <v>46275</v>
      </c>
      <c r="I49" s="28"/>
      <c r="J49" s="29">
        <v>2770</v>
      </c>
      <c r="K49" s="37">
        <v>18.5</v>
      </c>
      <c r="L49" s="29">
        <v>19</v>
      </c>
      <c r="M49" s="29">
        <v>120</v>
      </c>
      <c r="N49" s="29">
        <v>115</v>
      </c>
      <c r="O49" s="38">
        <f>IF(tblOrders[[#This Row],[Released]]="","",tblOrders[[#This Row],[Est hours]]*EstRate+tblOrders[[#This Row],[Est material]])</f>
        <v>1877.5</v>
      </c>
      <c r="P49" s="38">
        <f>IF(tblOrders[[#This Row],[Released]]="","",tblOrders[[#This Row],[Actual hours]]*CostRate+tblOrders[[#This Row],[Actual material]])</f>
        <v>1977</v>
      </c>
      <c r="Q49" s="38">
        <f>IF(tblOrders[[#This Row],[Released]]="","",IF(tblOrders[[#This Row],[Shipped]]="","",tblOrders[[#This Row],[Actual cost]]-tblOrders[[#This Row],[Est cost]]))</f>
        <v>99.5</v>
      </c>
      <c r="R49" s="39">
        <f>IF(tblOrders[[#This Row],[Released]]="","",IF(OR(tblOrders[[#This Row],[Shipped]]="",tblOrders[[#This Row],[Order value]]&lt;=0),"",(tblOrders[[#This Row],[Order value]]-tblOrders[[#This Row],[Actual cost]])/tblOrders[[#This Row],[Order value]]))</f>
        <v>0.286281588447653</v>
      </c>
      <c r="S49" s="40">
        <f>IF(tblOrders[[#This Row],[Released]]="","",IF(tblOrders[[#This Row],[Est hours]]&gt;0,tblOrders[[#This Row],[Actual hours]]/tblOrders[[#This Row],[Est hours]],""))</f>
        <v>1.02702702702703</v>
      </c>
      <c r="T49" s="38">
        <f>IF(tblOrders[[#This Row],[Released]]="","",MAX(0,IF(tblOrders[[#This Row],[Shipped]]="",AsOf,tblOrders[[#This Row],[Shipped]])-tblOrders[[#This Row],[Due]]))</f>
        <v>0</v>
      </c>
      <c r="U49" s="38">
        <f>IF(tblOrders[[#This Row],[Released]]="","",IF(tblOrders[[#This Row],[Shipped]]="","",tblOrders[[#This Row],[Shipped]]-tblOrders[[#This Row],[Released]]))</f>
        <v>14</v>
      </c>
      <c r="V49" s="41" t="str">
        <f>IF(tblOrders[[#This Row],[Released]]="","",IF(tblOrders[[#This Row],[Shipped]]&lt;&gt;"","Complete",IF(tblOrders[[#This Row],[Due]]="","",IF(tblOrders[[#This Row],[Due]]&lt;AsOf,"Overdue",IF(tblOrders[[#This Row],[Due]]-AsOf&lt;=DueSoonDays,"Due soon","In progress")))))</f>
        <v>Complete</v>
      </c>
      <c r="W49" s="41" t="str">
        <f>IF(tblOrders[[#This Row],[Released]]="","",IF(OR(tblOrders[[#This Row],[Shipped]]="",tblOrders[[#This Row],[Due]]=""),"",IF(tblOrders[[#This Row],[Shipped]]&lt;=tblOrders[[#This Row],[Due]],"Yes","No")))</f>
        <v>Yes</v>
      </c>
      <c r="X49" s="42">
        <f>IF(tblOrders[[#This Row],[Released]]="","",IF(AND(tblOrders[[#This Row],[Shipped]]&lt;&gt;"",tblOrders[[#This Row],[Shipped]]&gt;=FFrom,tblOrders[[#This Row],[Shipped]]&lt;=FTo,OR(DashCustomer="",tblOrders[[#This Row],[Customer]]=DashCustomer)),tblOrders[[#This Row],[Shipped]],""))</f>
        <v>46275</v>
      </c>
      <c r="Y49" s="42">
        <f>IF(tblOrders[[#This Row],[Released]]="","",IF(AND(tblOrders[[#This Row],[Shipped]]="",OR(DashCustomer="",tblOrders[[#This Row],[Customer]]=DashCustomer)),tblOrders[[#This Row],[Released]],""))</f>
        <v/>
      </c>
      <c r="Z49"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0" spans="2:26">
      <c r="B50" s="28" t="s">
        <v>229</v>
      </c>
      <c r="C50" s="28" t="s">
        <v>92</v>
      </c>
      <c r="D50" s="28" t="s">
        <v>230</v>
      </c>
      <c r="E50" s="31">
        <v>20</v>
      </c>
      <c r="F50" s="30">
        <v>46262</v>
      </c>
      <c r="G50" s="30">
        <v>46272</v>
      </c>
      <c r="H50" s="30">
        <v>46272</v>
      </c>
      <c r="I50" s="28"/>
      <c r="J50" s="29">
        <v>1720</v>
      </c>
      <c r="K50" s="37">
        <v>12.5</v>
      </c>
      <c r="L50" s="29">
        <v>11.5</v>
      </c>
      <c r="M50" s="29">
        <v>70</v>
      </c>
      <c r="N50" s="29">
        <v>75</v>
      </c>
      <c r="O50" s="38">
        <f>IF(tblOrders[[#This Row],[Released]]="","",tblOrders[[#This Row],[Est hours]]*EstRate+tblOrders[[#This Row],[Est material]])</f>
        <v>1257.5</v>
      </c>
      <c r="P50" s="38">
        <f>IF(tblOrders[[#This Row],[Released]]="","",tblOrders[[#This Row],[Actual hours]]*CostRate+tblOrders[[#This Row],[Actual material]])</f>
        <v>1202</v>
      </c>
      <c r="Q50" s="38">
        <f>IF(tblOrders[[#This Row],[Released]]="","",IF(tblOrders[[#This Row],[Shipped]]="","",tblOrders[[#This Row],[Actual cost]]-tblOrders[[#This Row],[Est cost]]))</f>
        <v>-55.5</v>
      </c>
      <c r="R50" s="39">
        <f>IF(tblOrders[[#This Row],[Released]]="","",IF(OR(tblOrders[[#This Row],[Shipped]]="",tblOrders[[#This Row],[Order value]]&lt;=0),"",(tblOrders[[#This Row],[Order value]]-tblOrders[[#This Row],[Actual cost]])/tblOrders[[#This Row],[Order value]]))</f>
        <v>0.301162790697674</v>
      </c>
      <c r="S50" s="40">
        <f>IF(tblOrders[[#This Row],[Released]]="","",IF(tblOrders[[#This Row],[Est hours]]&gt;0,tblOrders[[#This Row],[Actual hours]]/tblOrders[[#This Row],[Est hours]],""))</f>
        <v>0.92</v>
      </c>
      <c r="T50" s="38">
        <f>IF(tblOrders[[#This Row],[Released]]="","",MAX(0,IF(tblOrders[[#This Row],[Shipped]]="",AsOf,tblOrders[[#This Row],[Shipped]])-tblOrders[[#This Row],[Due]]))</f>
        <v>0</v>
      </c>
      <c r="U50" s="38">
        <f>IF(tblOrders[[#This Row],[Released]]="","",IF(tblOrders[[#This Row],[Shipped]]="","",tblOrders[[#This Row],[Shipped]]-tblOrders[[#This Row],[Released]]))</f>
        <v>10</v>
      </c>
      <c r="V50" s="41" t="str">
        <f>IF(tblOrders[[#This Row],[Released]]="","",IF(tblOrders[[#This Row],[Shipped]]&lt;&gt;"","Complete",IF(tblOrders[[#This Row],[Due]]="","",IF(tblOrders[[#This Row],[Due]]&lt;AsOf,"Overdue",IF(tblOrders[[#This Row],[Due]]-AsOf&lt;=DueSoonDays,"Due soon","In progress")))))</f>
        <v>Complete</v>
      </c>
      <c r="W50" s="41" t="str">
        <f>IF(tblOrders[[#This Row],[Released]]="","",IF(OR(tblOrders[[#This Row],[Shipped]]="",tblOrders[[#This Row],[Due]]=""),"",IF(tblOrders[[#This Row],[Shipped]]&lt;=tblOrders[[#This Row],[Due]],"Yes","No")))</f>
        <v>Yes</v>
      </c>
      <c r="X50" s="42">
        <f>IF(tblOrders[[#This Row],[Released]]="","",IF(AND(tblOrders[[#This Row],[Shipped]]&lt;&gt;"",tblOrders[[#This Row],[Shipped]]&gt;=FFrom,tblOrders[[#This Row],[Shipped]]&lt;=FTo,OR(DashCustomer="",tblOrders[[#This Row],[Customer]]=DashCustomer)),tblOrders[[#This Row],[Shipped]],""))</f>
        <v>46272</v>
      </c>
      <c r="Y50" s="42">
        <f>IF(tblOrders[[#This Row],[Released]]="","",IF(AND(tblOrders[[#This Row],[Shipped]]="",OR(DashCustomer="",tblOrders[[#This Row],[Customer]]=DashCustomer)),tblOrders[[#This Row],[Released]],""))</f>
        <v/>
      </c>
      <c r="Z50"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1" spans="2:26">
      <c r="B51" s="28" t="s">
        <v>231</v>
      </c>
      <c r="C51" s="28" t="s">
        <v>92</v>
      </c>
      <c r="D51" s="28" t="s">
        <v>232</v>
      </c>
      <c r="E51" s="31">
        <v>50</v>
      </c>
      <c r="F51" s="30">
        <v>46265</v>
      </c>
      <c r="G51" s="30">
        <v>46272</v>
      </c>
      <c r="H51" s="30">
        <v>46272</v>
      </c>
      <c r="I51" s="28"/>
      <c r="J51" s="29">
        <v>1060</v>
      </c>
      <c r="K51" s="37">
        <v>7</v>
      </c>
      <c r="L51" s="29">
        <v>7.75</v>
      </c>
      <c r="M51" s="29">
        <v>35</v>
      </c>
      <c r="N51" s="29">
        <v>35</v>
      </c>
      <c r="O51" s="38">
        <f>IF(tblOrders[[#This Row],[Released]]="","",tblOrders[[#This Row],[Est hours]]*EstRate+tblOrders[[#This Row],[Est material]])</f>
        <v>700</v>
      </c>
      <c r="P51" s="38">
        <f>IF(tblOrders[[#This Row],[Released]]="","",tblOrders[[#This Row],[Actual hours]]*CostRate+tblOrders[[#This Row],[Actual material]])</f>
        <v>794.5</v>
      </c>
      <c r="Q51" s="38">
        <f>IF(tblOrders[[#This Row],[Released]]="","",IF(tblOrders[[#This Row],[Shipped]]="","",tblOrders[[#This Row],[Actual cost]]-tblOrders[[#This Row],[Est cost]]))</f>
        <v>94.5</v>
      </c>
      <c r="R51" s="39">
        <f>IF(tblOrders[[#This Row],[Released]]="","",IF(OR(tblOrders[[#This Row],[Shipped]]="",tblOrders[[#This Row],[Order value]]&lt;=0),"",(tblOrders[[#This Row],[Order value]]-tblOrders[[#This Row],[Actual cost]])/tblOrders[[#This Row],[Order value]]))</f>
        <v>0.250471698113208</v>
      </c>
      <c r="S51" s="40">
        <f>IF(tblOrders[[#This Row],[Released]]="","",IF(tblOrders[[#This Row],[Est hours]]&gt;0,tblOrders[[#This Row],[Actual hours]]/tblOrders[[#This Row],[Est hours]],""))</f>
        <v>1.10714285714286</v>
      </c>
      <c r="T51" s="38">
        <f>IF(tblOrders[[#This Row],[Released]]="","",MAX(0,IF(tblOrders[[#This Row],[Shipped]]="",AsOf,tblOrders[[#This Row],[Shipped]])-tblOrders[[#This Row],[Due]]))</f>
        <v>0</v>
      </c>
      <c r="U51" s="38">
        <f>IF(tblOrders[[#This Row],[Released]]="","",IF(tblOrders[[#This Row],[Shipped]]="","",tblOrders[[#This Row],[Shipped]]-tblOrders[[#This Row],[Released]]))</f>
        <v>7</v>
      </c>
      <c r="V51" s="41" t="str">
        <f>IF(tblOrders[[#This Row],[Released]]="","",IF(tblOrders[[#This Row],[Shipped]]&lt;&gt;"","Complete",IF(tblOrders[[#This Row],[Due]]="","",IF(tblOrders[[#This Row],[Due]]&lt;AsOf,"Overdue",IF(tblOrders[[#This Row],[Due]]-AsOf&lt;=DueSoonDays,"Due soon","In progress")))))</f>
        <v>Complete</v>
      </c>
      <c r="W51" s="41" t="str">
        <f>IF(tblOrders[[#This Row],[Released]]="","",IF(OR(tblOrders[[#This Row],[Shipped]]="",tblOrders[[#This Row],[Due]]=""),"",IF(tblOrders[[#This Row],[Shipped]]&lt;=tblOrders[[#This Row],[Due]],"Yes","No")))</f>
        <v>Yes</v>
      </c>
      <c r="X51" s="42">
        <f>IF(tblOrders[[#This Row],[Released]]="","",IF(AND(tblOrders[[#This Row],[Shipped]]&lt;&gt;"",tblOrders[[#This Row],[Shipped]]&gt;=FFrom,tblOrders[[#This Row],[Shipped]]&lt;=FTo,OR(DashCustomer="",tblOrders[[#This Row],[Customer]]=DashCustomer)),tblOrders[[#This Row],[Shipped]],""))</f>
        <v>46272</v>
      </c>
      <c r="Y51" s="42">
        <f>IF(tblOrders[[#This Row],[Released]]="","",IF(AND(tblOrders[[#This Row],[Shipped]]="",OR(DashCustomer="",tblOrders[[#This Row],[Customer]]=DashCustomer)),tblOrders[[#This Row],[Released]],""))</f>
        <v/>
      </c>
      <c r="Z51"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2" spans="2:26">
      <c r="B52" s="28" t="s">
        <v>233</v>
      </c>
      <c r="C52" s="28" t="s">
        <v>86</v>
      </c>
      <c r="D52" s="28" t="s">
        <v>234</v>
      </c>
      <c r="E52" s="31">
        <v>10</v>
      </c>
      <c r="F52" s="30">
        <v>46265</v>
      </c>
      <c r="G52" s="30">
        <v>46279</v>
      </c>
      <c r="H52" s="30">
        <v>46279</v>
      </c>
      <c r="I52" s="28"/>
      <c r="J52" s="29">
        <v>1940</v>
      </c>
      <c r="K52" s="37">
        <v>12</v>
      </c>
      <c r="L52" s="29">
        <v>13.75</v>
      </c>
      <c r="M52" s="29">
        <v>155</v>
      </c>
      <c r="N52" s="29">
        <v>150</v>
      </c>
      <c r="O52" s="38">
        <f>IF(tblOrders[[#This Row],[Released]]="","",tblOrders[[#This Row],[Est hours]]*EstRate+tblOrders[[#This Row],[Est material]])</f>
        <v>1295</v>
      </c>
      <c r="P52" s="38">
        <f>IF(tblOrders[[#This Row],[Released]]="","",tblOrders[[#This Row],[Actual hours]]*CostRate+tblOrders[[#This Row],[Actual material]])</f>
        <v>1497.5</v>
      </c>
      <c r="Q52" s="38">
        <f>IF(tblOrders[[#This Row],[Released]]="","",IF(tblOrders[[#This Row],[Shipped]]="","",tblOrders[[#This Row],[Actual cost]]-tblOrders[[#This Row],[Est cost]]))</f>
        <v>202.5</v>
      </c>
      <c r="R52" s="39">
        <f>IF(tblOrders[[#This Row],[Released]]="","",IF(OR(tblOrders[[#This Row],[Shipped]]="",tblOrders[[#This Row],[Order value]]&lt;=0),"",(tblOrders[[#This Row],[Order value]]-tblOrders[[#This Row],[Actual cost]])/tblOrders[[#This Row],[Order value]]))</f>
        <v>0.228092783505155</v>
      </c>
      <c r="S52" s="40">
        <f>IF(tblOrders[[#This Row],[Released]]="","",IF(tblOrders[[#This Row],[Est hours]]&gt;0,tblOrders[[#This Row],[Actual hours]]/tblOrders[[#This Row],[Est hours]],""))</f>
        <v>1.14583333333333</v>
      </c>
      <c r="T52" s="38">
        <f>IF(tblOrders[[#This Row],[Released]]="","",MAX(0,IF(tblOrders[[#This Row],[Shipped]]="",AsOf,tblOrders[[#This Row],[Shipped]])-tblOrders[[#This Row],[Due]]))</f>
        <v>0</v>
      </c>
      <c r="U52" s="38">
        <f>IF(tblOrders[[#This Row],[Released]]="","",IF(tblOrders[[#This Row],[Shipped]]="","",tblOrders[[#This Row],[Shipped]]-tblOrders[[#This Row],[Released]]))</f>
        <v>14</v>
      </c>
      <c r="V52" s="41" t="str">
        <f>IF(tblOrders[[#This Row],[Released]]="","",IF(tblOrders[[#This Row],[Shipped]]&lt;&gt;"","Complete",IF(tblOrders[[#This Row],[Due]]="","",IF(tblOrders[[#This Row],[Due]]&lt;AsOf,"Overdue",IF(tblOrders[[#This Row],[Due]]-AsOf&lt;=DueSoonDays,"Due soon","In progress")))))</f>
        <v>Complete</v>
      </c>
      <c r="W52" s="41" t="str">
        <f>IF(tblOrders[[#This Row],[Released]]="","",IF(OR(tblOrders[[#This Row],[Shipped]]="",tblOrders[[#This Row],[Due]]=""),"",IF(tblOrders[[#This Row],[Shipped]]&lt;=tblOrders[[#This Row],[Due]],"Yes","No")))</f>
        <v>Yes</v>
      </c>
      <c r="X52" s="42">
        <f>IF(tblOrders[[#This Row],[Released]]="","",IF(AND(tblOrders[[#This Row],[Shipped]]&lt;&gt;"",tblOrders[[#This Row],[Shipped]]&gt;=FFrom,tblOrders[[#This Row],[Shipped]]&lt;=FTo,OR(DashCustomer="",tblOrders[[#This Row],[Customer]]=DashCustomer)),tblOrders[[#This Row],[Shipped]],""))</f>
        <v>46279</v>
      </c>
      <c r="Y52" s="42">
        <f>IF(tblOrders[[#This Row],[Released]]="","",IF(AND(tblOrders[[#This Row],[Shipped]]="",OR(DashCustomer="",tblOrders[[#This Row],[Customer]]=DashCustomer)),tblOrders[[#This Row],[Released]],""))</f>
        <v/>
      </c>
      <c r="Z52"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3" spans="2:26">
      <c r="B53" s="28" t="s">
        <v>235</v>
      </c>
      <c r="C53" s="28" t="s">
        <v>89</v>
      </c>
      <c r="D53" s="28" t="s">
        <v>236</v>
      </c>
      <c r="E53" s="31">
        <v>2</v>
      </c>
      <c r="F53" s="30">
        <v>46266</v>
      </c>
      <c r="G53" s="30">
        <v>46282</v>
      </c>
      <c r="H53" s="30">
        <v>46280</v>
      </c>
      <c r="I53" s="28"/>
      <c r="J53" s="29">
        <v>5690</v>
      </c>
      <c r="K53" s="37">
        <v>33</v>
      </c>
      <c r="L53" s="29">
        <v>32</v>
      </c>
      <c r="M53" s="29">
        <v>530</v>
      </c>
      <c r="N53" s="29">
        <v>515</v>
      </c>
      <c r="O53" s="38">
        <f>IF(tblOrders[[#This Row],[Released]]="","",tblOrders[[#This Row],[Est hours]]*EstRate+tblOrders[[#This Row],[Est material]])</f>
        <v>3665</v>
      </c>
      <c r="P53" s="38">
        <f>IF(tblOrders[[#This Row],[Released]]="","",tblOrders[[#This Row],[Actual hours]]*CostRate+tblOrders[[#This Row],[Actual material]])</f>
        <v>3651</v>
      </c>
      <c r="Q53" s="38">
        <f>IF(tblOrders[[#This Row],[Released]]="","",IF(tblOrders[[#This Row],[Shipped]]="","",tblOrders[[#This Row],[Actual cost]]-tblOrders[[#This Row],[Est cost]]))</f>
        <v>-14</v>
      </c>
      <c r="R53" s="39">
        <f>IF(tblOrders[[#This Row],[Released]]="","",IF(OR(tblOrders[[#This Row],[Shipped]]="",tblOrders[[#This Row],[Order value]]&lt;=0),"",(tblOrders[[#This Row],[Order value]]-tblOrders[[#This Row],[Actual cost]])/tblOrders[[#This Row],[Order value]]))</f>
        <v>0.358347978910369</v>
      </c>
      <c r="S53" s="40">
        <f>IF(tblOrders[[#This Row],[Released]]="","",IF(tblOrders[[#This Row],[Est hours]]&gt;0,tblOrders[[#This Row],[Actual hours]]/tblOrders[[#This Row],[Est hours]],""))</f>
        <v>0.96969696969697</v>
      </c>
      <c r="T53" s="38">
        <f>IF(tblOrders[[#This Row],[Released]]="","",MAX(0,IF(tblOrders[[#This Row],[Shipped]]="",AsOf,tblOrders[[#This Row],[Shipped]])-tblOrders[[#This Row],[Due]]))</f>
        <v>0</v>
      </c>
      <c r="U53" s="38">
        <f>IF(tblOrders[[#This Row],[Released]]="","",IF(tblOrders[[#This Row],[Shipped]]="","",tblOrders[[#This Row],[Shipped]]-tblOrders[[#This Row],[Released]]))</f>
        <v>14</v>
      </c>
      <c r="V53" s="41" t="str">
        <f>IF(tblOrders[[#This Row],[Released]]="","",IF(tblOrders[[#This Row],[Shipped]]&lt;&gt;"","Complete",IF(tblOrders[[#This Row],[Due]]="","",IF(tblOrders[[#This Row],[Due]]&lt;AsOf,"Overdue",IF(tblOrders[[#This Row],[Due]]-AsOf&lt;=DueSoonDays,"Due soon","In progress")))))</f>
        <v>Complete</v>
      </c>
      <c r="W53" s="41" t="str">
        <f>IF(tblOrders[[#This Row],[Released]]="","",IF(OR(tblOrders[[#This Row],[Shipped]]="",tblOrders[[#This Row],[Due]]=""),"",IF(tblOrders[[#This Row],[Shipped]]&lt;=tblOrders[[#This Row],[Due]],"Yes","No")))</f>
        <v>Yes</v>
      </c>
      <c r="X53" s="42">
        <f>IF(tblOrders[[#This Row],[Released]]="","",IF(AND(tblOrders[[#This Row],[Shipped]]&lt;&gt;"",tblOrders[[#This Row],[Shipped]]&gt;=FFrom,tblOrders[[#This Row],[Shipped]]&lt;=FTo,OR(DashCustomer="",tblOrders[[#This Row],[Customer]]=DashCustomer)),tblOrders[[#This Row],[Shipped]],""))</f>
        <v>46280</v>
      </c>
      <c r="Y53" s="42">
        <f>IF(tblOrders[[#This Row],[Released]]="","",IF(AND(tblOrders[[#This Row],[Shipped]]="",OR(DashCustomer="",tblOrders[[#This Row],[Customer]]=DashCustomer)),tblOrders[[#This Row],[Released]],""))</f>
        <v/>
      </c>
      <c r="Z53"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4" spans="2:26">
      <c r="B54" s="28" t="s">
        <v>237</v>
      </c>
      <c r="C54" s="28" t="s">
        <v>83</v>
      </c>
      <c r="D54" s="28" t="s">
        <v>238</v>
      </c>
      <c r="E54" s="31">
        <v>20</v>
      </c>
      <c r="F54" s="30">
        <v>46267</v>
      </c>
      <c r="G54" s="30">
        <v>46302</v>
      </c>
      <c r="H54" s="30"/>
      <c r="I54" s="28" t="s">
        <v>113</v>
      </c>
      <c r="J54" s="29">
        <v>5720</v>
      </c>
      <c r="K54" s="37">
        <v>39</v>
      </c>
      <c r="L54" s="29">
        <v>41.75</v>
      </c>
      <c r="M54" s="29">
        <v>550</v>
      </c>
      <c r="N54" s="29">
        <v>530</v>
      </c>
      <c r="O54" s="38">
        <f>IF(tblOrders[[#This Row],[Released]]="","",tblOrders[[#This Row],[Est hours]]*EstRate+tblOrders[[#This Row],[Est material]])</f>
        <v>4255</v>
      </c>
      <c r="P54" s="38">
        <f>IF(tblOrders[[#This Row],[Released]]="","",tblOrders[[#This Row],[Actual hours]]*CostRate+tblOrders[[#This Row],[Actual material]])</f>
        <v>4621.5</v>
      </c>
      <c r="Q54" s="38">
        <f>IF(tblOrders[[#This Row],[Released]]="","",IF(tblOrders[[#This Row],[Shipped]]="","",tblOrders[[#This Row],[Actual cost]]-tblOrders[[#This Row],[Est cost]]))</f>
        <v/>
      </c>
      <c r="R54" s="39">
        <f>IF(tblOrders[[#This Row],[Released]]="","",IF(OR(tblOrders[[#This Row],[Shipped]]="",tblOrders[[#This Row],[Order value]]&lt;=0),"",(tblOrders[[#This Row],[Order value]]-tblOrders[[#This Row],[Actual cost]])/tblOrders[[#This Row],[Order value]]))</f>
        <v/>
      </c>
      <c r="S54" s="40">
        <f>IF(tblOrders[[#This Row],[Released]]="","",IF(tblOrders[[#This Row],[Est hours]]&gt;0,tblOrders[[#This Row],[Actual hours]]/tblOrders[[#This Row],[Est hours]],""))</f>
        <v>1.07051282051282</v>
      </c>
      <c r="T54" s="38">
        <f>IF(tblOrders[[#This Row],[Released]]="","",MAX(0,IF(tblOrders[[#This Row],[Shipped]]="",AsOf,tblOrders[[#This Row],[Shipped]])-tblOrders[[#This Row],[Due]]))</f>
        <v>2</v>
      </c>
      <c r="U54" s="38">
        <f>IF(tblOrders[[#This Row],[Released]]="","",IF(tblOrders[[#This Row],[Shipped]]="","",tblOrders[[#This Row],[Shipped]]-tblOrders[[#This Row],[Released]]))</f>
        <v/>
      </c>
      <c r="V54" s="41" t="str">
        <f>IF(tblOrders[[#This Row],[Released]]="","",IF(tblOrders[[#This Row],[Shipped]]&lt;&gt;"","Complete",IF(tblOrders[[#This Row],[Due]]="","",IF(tblOrders[[#This Row],[Due]]&lt;AsOf,"Overdue",IF(tblOrders[[#This Row],[Due]]-AsOf&lt;=DueSoonDays,"Due soon","In progress")))))</f>
        <v>Overdue</v>
      </c>
      <c r="W54" s="41">
        <f>IF(tblOrders[[#This Row],[Released]]="","",IF(OR(tblOrders[[#This Row],[Shipped]]="",tblOrders[[#This Row],[Due]]=""),"",IF(tblOrders[[#This Row],[Shipped]]&lt;=tblOrders[[#This Row],[Due]],"Yes","No")))</f>
        <v/>
      </c>
      <c r="X54" s="42">
        <f>IF(tblOrders[[#This Row],[Released]]="","",IF(AND(tblOrders[[#This Row],[Shipped]]&lt;&gt;"",tblOrders[[#This Row],[Shipped]]&gt;=FFrom,tblOrders[[#This Row],[Shipped]]&lt;=FTo,OR(DashCustomer="",tblOrders[[#This Row],[Customer]]=DashCustomer)),tblOrders[[#This Row],[Shipped]],""))</f>
        <v/>
      </c>
      <c r="Y54" s="42">
        <f>IF(tblOrders[[#This Row],[Released]]="","",IF(AND(tblOrders[[#This Row],[Shipped]]="",OR(DashCustomer="",tblOrders[[#This Row],[Customer]]=DashCustomer)),tblOrders[[#This Row],[Released]],""))</f>
        <v>46267</v>
      </c>
      <c r="Z54"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5" spans="2:26">
      <c r="B55" s="28" t="s">
        <v>239</v>
      </c>
      <c r="C55" s="28" t="s">
        <v>86</v>
      </c>
      <c r="D55" s="28" t="s">
        <v>240</v>
      </c>
      <c r="E55" s="31">
        <v>1</v>
      </c>
      <c r="F55" s="30">
        <v>46269</v>
      </c>
      <c r="G55" s="30">
        <v>46288</v>
      </c>
      <c r="H55" s="30">
        <v>46288</v>
      </c>
      <c r="I55" s="28"/>
      <c r="J55" s="29">
        <v>1210</v>
      </c>
      <c r="K55" s="37">
        <v>7.5</v>
      </c>
      <c r="L55" s="29">
        <v>8.25</v>
      </c>
      <c r="M55" s="29">
        <v>110</v>
      </c>
      <c r="N55" s="29">
        <v>105</v>
      </c>
      <c r="O55" s="38">
        <f>IF(tblOrders[[#This Row],[Released]]="","",tblOrders[[#This Row],[Est hours]]*EstRate+tblOrders[[#This Row],[Est material]])</f>
        <v>822.5</v>
      </c>
      <c r="P55" s="38">
        <f>IF(tblOrders[[#This Row],[Released]]="","",tblOrders[[#This Row],[Actual hours]]*CostRate+tblOrders[[#This Row],[Actual material]])</f>
        <v>913.5</v>
      </c>
      <c r="Q55" s="38">
        <f>IF(tblOrders[[#This Row],[Released]]="","",IF(tblOrders[[#This Row],[Shipped]]="","",tblOrders[[#This Row],[Actual cost]]-tblOrders[[#This Row],[Est cost]]))</f>
        <v>91</v>
      </c>
      <c r="R55" s="39">
        <f>IF(tblOrders[[#This Row],[Released]]="","",IF(OR(tblOrders[[#This Row],[Shipped]]="",tblOrders[[#This Row],[Order value]]&lt;=0),"",(tblOrders[[#This Row],[Order value]]-tblOrders[[#This Row],[Actual cost]])/tblOrders[[#This Row],[Order value]]))</f>
        <v>0.24504132231405</v>
      </c>
      <c r="S55" s="40">
        <f>IF(tblOrders[[#This Row],[Released]]="","",IF(tblOrders[[#This Row],[Est hours]]&gt;0,tblOrders[[#This Row],[Actual hours]]/tblOrders[[#This Row],[Est hours]],""))</f>
        <v>1.1</v>
      </c>
      <c r="T55" s="38">
        <f>IF(tblOrders[[#This Row],[Released]]="","",MAX(0,IF(tblOrders[[#This Row],[Shipped]]="",AsOf,tblOrders[[#This Row],[Shipped]])-tblOrders[[#This Row],[Due]]))</f>
        <v>0</v>
      </c>
      <c r="U55" s="38">
        <f>IF(tblOrders[[#This Row],[Released]]="","",IF(tblOrders[[#This Row],[Shipped]]="","",tblOrders[[#This Row],[Shipped]]-tblOrders[[#This Row],[Released]]))</f>
        <v>19</v>
      </c>
      <c r="V55" s="41" t="str">
        <f>IF(tblOrders[[#This Row],[Released]]="","",IF(tblOrders[[#This Row],[Shipped]]&lt;&gt;"","Complete",IF(tblOrders[[#This Row],[Due]]="","",IF(tblOrders[[#This Row],[Due]]&lt;AsOf,"Overdue",IF(tblOrders[[#This Row],[Due]]-AsOf&lt;=DueSoonDays,"Due soon","In progress")))))</f>
        <v>Complete</v>
      </c>
      <c r="W55" s="41" t="str">
        <f>IF(tblOrders[[#This Row],[Released]]="","",IF(OR(tblOrders[[#This Row],[Shipped]]="",tblOrders[[#This Row],[Due]]=""),"",IF(tblOrders[[#This Row],[Shipped]]&lt;=tblOrders[[#This Row],[Due]],"Yes","No")))</f>
        <v>Yes</v>
      </c>
      <c r="X55" s="42">
        <f>IF(tblOrders[[#This Row],[Released]]="","",IF(AND(tblOrders[[#This Row],[Shipped]]&lt;&gt;"",tblOrders[[#This Row],[Shipped]]&gt;=FFrom,tblOrders[[#This Row],[Shipped]]&lt;=FTo,OR(DashCustomer="",tblOrders[[#This Row],[Customer]]=DashCustomer)),tblOrders[[#This Row],[Shipped]],""))</f>
        <v>46288</v>
      </c>
      <c r="Y55" s="42">
        <f>IF(tblOrders[[#This Row],[Released]]="","",IF(AND(tblOrders[[#This Row],[Shipped]]="",OR(DashCustomer="",tblOrders[[#This Row],[Customer]]=DashCustomer)),tblOrders[[#This Row],[Released]],""))</f>
        <v/>
      </c>
      <c r="Z55"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6" spans="2:26">
      <c r="B56" s="28" t="s">
        <v>241</v>
      </c>
      <c r="C56" s="28" t="s">
        <v>92</v>
      </c>
      <c r="D56" s="28" t="s">
        <v>242</v>
      </c>
      <c r="E56" s="31">
        <v>100</v>
      </c>
      <c r="F56" s="30">
        <v>46272</v>
      </c>
      <c r="G56" s="30">
        <v>46286</v>
      </c>
      <c r="H56" s="30">
        <v>46283</v>
      </c>
      <c r="I56" s="28"/>
      <c r="J56" s="29">
        <v>1310</v>
      </c>
      <c r="K56" s="37">
        <v>9</v>
      </c>
      <c r="L56" s="29">
        <v>11.25</v>
      </c>
      <c r="M56" s="29">
        <v>70</v>
      </c>
      <c r="N56" s="29">
        <v>75</v>
      </c>
      <c r="O56" s="38">
        <f>IF(tblOrders[[#This Row],[Released]]="","",tblOrders[[#This Row],[Est hours]]*EstRate+tblOrders[[#This Row],[Est material]])</f>
        <v>925</v>
      </c>
      <c r="P56" s="38">
        <f>IF(tblOrders[[#This Row],[Released]]="","",tblOrders[[#This Row],[Actual hours]]*CostRate+tblOrders[[#This Row],[Actual material]])</f>
        <v>1177.5</v>
      </c>
      <c r="Q56" s="38">
        <f>IF(tblOrders[[#This Row],[Released]]="","",IF(tblOrders[[#This Row],[Shipped]]="","",tblOrders[[#This Row],[Actual cost]]-tblOrders[[#This Row],[Est cost]]))</f>
        <v>252.5</v>
      </c>
      <c r="R56" s="39">
        <f>IF(tblOrders[[#This Row],[Released]]="","",IF(OR(tblOrders[[#This Row],[Shipped]]="",tblOrders[[#This Row],[Order value]]&lt;=0),"",(tblOrders[[#This Row],[Order value]]-tblOrders[[#This Row],[Actual cost]])/tblOrders[[#This Row],[Order value]]))</f>
        <v>0.101145038167939</v>
      </c>
      <c r="S56" s="40">
        <f>IF(tblOrders[[#This Row],[Released]]="","",IF(tblOrders[[#This Row],[Est hours]]&gt;0,tblOrders[[#This Row],[Actual hours]]/tblOrders[[#This Row],[Est hours]],""))</f>
        <v>1.25</v>
      </c>
      <c r="T56" s="38">
        <f>IF(tblOrders[[#This Row],[Released]]="","",MAX(0,IF(tblOrders[[#This Row],[Shipped]]="",AsOf,tblOrders[[#This Row],[Shipped]])-tblOrders[[#This Row],[Due]]))</f>
        <v>0</v>
      </c>
      <c r="U56" s="38">
        <f>IF(tblOrders[[#This Row],[Released]]="","",IF(tblOrders[[#This Row],[Shipped]]="","",tblOrders[[#This Row],[Shipped]]-tblOrders[[#This Row],[Released]]))</f>
        <v>11</v>
      </c>
      <c r="V56" s="41" t="str">
        <f>IF(tblOrders[[#This Row],[Released]]="","",IF(tblOrders[[#This Row],[Shipped]]&lt;&gt;"","Complete",IF(tblOrders[[#This Row],[Due]]="","",IF(tblOrders[[#This Row],[Due]]&lt;AsOf,"Overdue",IF(tblOrders[[#This Row],[Due]]-AsOf&lt;=DueSoonDays,"Due soon","In progress")))))</f>
        <v>Complete</v>
      </c>
      <c r="W56" s="41" t="str">
        <f>IF(tblOrders[[#This Row],[Released]]="","",IF(OR(tblOrders[[#This Row],[Shipped]]="",tblOrders[[#This Row],[Due]]=""),"",IF(tblOrders[[#This Row],[Shipped]]&lt;=tblOrders[[#This Row],[Due]],"Yes","No")))</f>
        <v>Yes</v>
      </c>
      <c r="X56" s="42">
        <f>IF(tblOrders[[#This Row],[Released]]="","",IF(AND(tblOrders[[#This Row],[Shipped]]&lt;&gt;"",tblOrders[[#This Row],[Shipped]]&gt;=FFrom,tblOrders[[#This Row],[Shipped]]&lt;=FTo,OR(DashCustomer="",tblOrders[[#This Row],[Customer]]=DashCustomer)),tblOrders[[#This Row],[Shipped]],""))</f>
        <v>46283</v>
      </c>
      <c r="Y56" s="42">
        <f>IF(tblOrders[[#This Row],[Released]]="","",IF(AND(tblOrders[[#This Row],[Shipped]]="",OR(DashCustomer="",tblOrders[[#This Row],[Customer]]=DashCustomer)),tblOrders[[#This Row],[Released]],""))</f>
        <v/>
      </c>
      <c r="Z56"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7" spans="2:26">
      <c r="B57" s="28" t="s">
        <v>243</v>
      </c>
      <c r="C57" s="28" t="s">
        <v>86</v>
      </c>
      <c r="D57" s="28" t="s">
        <v>244</v>
      </c>
      <c r="E57" s="31">
        <v>40</v>
      </c>
      <c r="F57" s="30">
        <v>46272</v>
      </c>
      <c r="G57" s="30">
        <v>46293</v>
      </c>
      <c r="H57" s="30">
        <v>46293</v>
      </c>
      <c r="I57" s="28"/>
      <c r="J57" s="29">
        <v>1940</v>
      </c>
      <c r="K57" s="37">
        <v>13</v>
      </c>
      <c r="L57" s="29">
        <v>15</v>
      </c>
      <c r="M57" s="29">
        <v>75</v>
      </c>
      <c r="N57" s="29">
        <v>80</v>
      </c>
      <c r="O57" s="38">
        <f>IF(tblOrders[[#This Row],[Released]]="","",tblOrders[[#This Row],[Est hours]]*EstRate+tblOrders[[#This Row],[Est material]])</f>
        <v>1310</v>
      </c>
      <c r="P57" s="38">
        <f>IF(tblOrders[[#This Row],[Released]]="","",tblOrders[[#This Row],[Actual hours]]*CostRate+tblOrders[[#This Row],[Actual material]])</f>
        <v>1550</v>
      </c>
      <c r="Q57" s="38">
        <f>IF(tblOrders[[#This Row],[Released]]="","",IF(tblOrders[[#This Row],[Shipped]]="","",tblOrders[[#This Row],[Actual cost]]-tblOrders[[#This Row],[Est cost]]))</f>
        <v>240</v>
      </c>
      <c r="R57" s="39">
        <f>IF(tblOrders[[#This Row],[Released]]="","",IF(OR(tblOrders[[#This Row],[Shipped]]="",tblOrders[[#This Row],[Order value]]&lt;=0),"",(tblOrders[[#This Row],[Order value]]-tblOrders[[#This Row],[Actual cost]])/tblOrders[[#This Row],[Order value]]))</f>
        <v>0.201030927835052</v>
      </c>
      <c r="S57" s="40">
        <f>IF(tblOrders[[#This Row],[Released]]="","",IF(tblOrders[[#This Row],[Est hours]]&gt;0,tblOrders[[#This Row],[Actual hours]]/tblOrders[[#This Row],[Est hours]],""))</f>
        <v>1.15384615384615</v>
      </c>
      <c r="T57" s="38">
        <f>IF(tblOrders[[#This Row],[Released]]="","",MAX(0,IF(tblOrders[[#This Row],[Shipped]]="",AsOf,tblOrders[[#This Row],[Shipped]])-tblOrders[[#This Row],[Due]]))</f>
        <v>0</v>
      </c>
      <c r="U57" s="38">
        <f>IF(tblOrders[[#This Row],[Released]]="","",IF(tblOrders[[#This Row],[Shipped]]="","",tblOrders[[#This Row],[Shipped]]-tblOrders[[#This Row],[Released]]))</f>
        <v>21</v>
      </c>
      <c r="V57" s="41" t="str">
        <f>IF(tblOrders[[#This Row],[Released]]="","",IF(tblOrders[[#This Row],[Shipped]]&lt;&gt;"","Complete",IF(tblOrders[[#This Row],[Due]]="","",IF(tblOrders[[#This Row],[Due]]&lt;AsOf,"Overdue",IF(tblOrders[[#This Row],[Due]]-AsOf&lt;=DueSoonDays,"Due soon","In progress")))))</f>
        <v>Complete</v>
      </c>
      <c r="W57" s="41" t="str">
        <f>IF(tblOrders[[#This Row],[Released]]="","",IF(OR(tblOrders[[#This Row],[Shipped]]="",tblOrders[[#This Row],[Due]]=""),"",IF(tblOrders[[#This Row],[Shipped]]&lt;=tblOrders[[#This Row],[Due]],"Yes","No")))</f>
        <v>Yes</v>
      </c>
      <c r="X57" s="42">
        <f>IF(tblOrders[[#This Row],[Released]]="","",IF(AND(tblOrders[[#This Row],[Shipped]]&lt;&gt;"",tblOrders[[#This Row],[Shipped]]&gt;=FFrom,tblOrders[[#This Row],[Shipped]]&lt;=FTo,OR(DashCustomer="",tblOrders[[#This Row],[Customer]]=DashCustomer)),tblOrders[[#This Row],[Shipped]],""))</f>
        <v>46293</v>
      </c>
      <c r="Y57" s="42">
        <f>IF(tblOrders[[#This Row],[Released]]="","",IF(AND(tblOrders[[#This Row],[Shipped]]="",OR(DashCustomer="",tblOrders[[#This Row],[Customer]]=DashCustomer)),tblOrders[[#This Row],[Released]],""))</f>
        <v/>
      </c>
      <c r="Z5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8" spans="2:26">
      <c r="B58" s="28" t="s">
        <v>245</v>
      </c>
      <c r="C58" s="28" t="s">
        <v>89</v>
      </c>
      <c r="D58" s="28" t="s">
        <v>246</v>
      </c>
      <c r="E58" s="31">
        <v>40</v>
      </c>
      <c r="F58" s="30">
        <v>46273</v>
      </c>
      <c r="G58" s="30">
        <v>46288</v>
      </c>
      <c r="H58" s="30"/>
      <c r="I58" s="28" t="s">
        <v>109</v>
      </c>
      <c r="J58" s="29">
        <v>6230</v>
      </c>
      <c r="K58" s="37">
        <v>35.5</v>
      </c>
      <c r="L58" s="29">
        <v>32</v>
      </c>
      <c r="M58" s="29">
        <v>725</v>
      </c>
      <c r="N58" s="29">
        <v>740</v>
      </c>
      <c r="O58" s="38">
        <f>IF(tblOrders[[#This Row],[Released]]="","",tblOrders[[#This Row],[Est hours]]*EstRate+tblOrders[[#This Row],[Est material]])</f>
        <v>4097.5</v>
      </c>
      <c r="P58" s="38">
        <f>IF(tblOrders[[#This Row],[Released]]="","",tblOrders[[#This Row],[Actual hours]]*CostRate+tblOrders[[#This Row],[Actual material]])</f>
        <v>3876</v>
      </c>
      <c r="Q58" s="38">
        <f>IF(tblOrders[[#This Row],[Released]]="","",IF(tblOrders[[#This Row],[Shipped]]="","",tblOrders[[#This Row],[Actual cost]]-tblOrders[[#This Row],[Est cost]]))</f>
        <v/>
      </c>
      <c r="R58" s="39">
        <f>IF(tblOrders[[#This Row],[Released]]="","",IF(OR(tblOrders[[#This Row],[Shipped]]="",tblOrders[[#This Row],[Order value]]&lt;=0),"",(tblOrders[[#This Row],[Order value]]-tblOrders[[#This Row],[Actual cost]])/tblOrders[[#This Row],[Order value]]))</f>
        <v/>
      </c>
      <c r="S58" s="40">
        <f>IF(tblOrders[[#This Row],[Released]]="","",IF(tblOrders[[#This Row],[Est hours]]&gt;0,tblOrders[[#This Row],[Actual hours]]/tblOrders[[#This Row],[Est hours]],""))</f>
        <v>0.901408450704225</v>
      </c>
      <c r="T58" s="38">
        <f>IF(tblOrders[[#This Row],[Released]]="","",MAX(0,IF(tblOrders[[#This Row],[Shipped]]="",AsOf,tblOrders[[#This Row],[Shipped]])-tblOrders[[#This Row],[Due]]))</f>
        <v>16</v>
      </c>
      <c r="U58" s="38">
        <f>IF(tblOrders[[#This Row],[Released]]="","",IF(tblOrders[[#This Row],[Shipped]]="","",tblOrders[[#This Row],[Shipped]]-tblOrders[[#This Row],[Released]]))</f>
        <v/>
      </c>
      <c r="V58" s="41" t="str">
        <f>IF(tblOrders[[#This Row],[Released]]="","",IF(tblOrders[[#This Row],[Shipped]]&lt;&gt;"","Complete",IF(tblOrders[[#This Row],[Due]]="","",IF(tblOrders[[#This Row],[Due]]&lt;AsOf,"Overdue",IF(tblOrders[[#This Row],[Due]]-AsOf&lt;=DueSoonDays,"Due soon","In progress")))))</f>
        <v>Overdue</v>
      </c>
      <c r="W58" s="41">
        <f>IF(tblOrders[[#This Row],[Released]]="","",IF(OR(tblOrders[[#This Row],[Shipped]]="",tblOrders[[#This Row],[Due]]=""),"",IF(tblOrders[[#This Row],[Shipped]]&lt;=tblOrders[[#This Row],[Due]],"Yes","No")))</f>
        <v/>
      </c>
      <c r="X58" s="42">
        <f>IF(tblOrders[[#This Row],[Released]]="","",IF(AND(tblOrders[[#This Row],[Shipped]]&lt;&gt;"",tblOrders[[#This Row],[Shipped]]&gt;=FFrom,tblOrders[[#This Row],[Shipped]]&lt;=FTo,OR(DashCustomer="",tblOrders[[#This Row],[Customer]]=DashCustomer)),tblOrders[[#This Row],[Shipped]],""))</f>
        <v/>
      </c>
      <c r="Y58" s="42">
        <f>IF(tblOrders[[#This Row],[Released]]="","",IF(AND(tblOrders[[#This Row],[Shipped]]="",OR(DashCustomer="",tblOrders[[#This Row],[Customer]]=DashCustomer)),tblOrders[[#This Row],[Released]],""))</f>
        <v>46273</v>
      </c>
      <c r="Z5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59" spans="2:26">
      <c r="B59" s="28" t="s">
        <v>247</v>
      </c>
      <c r="C59" s="28" t="s">
        <v>83</v>
      </c>
      <c r="D59" s="28" t="s">
        <v>248</v>
      </c>
      <c r="E59" s="31">
        <v>10</v>
      </c>
      <c r="F59" s="30">
        <v>46274</v>
      </c>
      <c r="G59" s="30">
        <v>46309</v>
      </c>
      <c r="H59" s="30"/>
      <c r="I59" s="28" t="s">
        <v>115</v>
      </c>
      <c r="J59" s="29">
        <v>5110</v>
      </c>
      <c r="K59" s="37">
        <v>34.5</v>
      </c>
      <c r="L59" s="29">
        <v>31.25</v>
      </c>
      <c r="M59" s="29">
        <v>310</v>
      </c>
      <c r="N59" s="29">
        <v>310</v>
      </c>
      <c r="O59" s="38">
        <f>IF(tblOrders[[#This Row],[Released]]="","",tblOrders[[#This Row],[Est hours]]*EstRate+tblOrders[[#This Row],[Est material]])</f>
        <v>3587.5</v>
      </c>
      <c r="P59" s="38">
        <f>IF(tblOrders[[#This Row],[Released]]="","",tblOrders[[#This Row],[Actual hours]]*CostRate+tblOrders[[#This Row],[Actual material]])</f>
        <v>3372.5</v>
      </c>
      <c r="Q59" s="38">
        <f>IF(tblOrders[[#This Row],[Released]]="","",IF(tblOrders[[#This Row],[Shipped]]="","",tblOrders[[#This Row],[Actual cost]]-tblOrders[[#This Row],[Est cost]]))</f>
        <v/>
      </c>
      <c r="R59" s="39">
        <f>IF(tblOrders[[#This Row],[Released]]="","",IF(OR(tblOrders[[#This Row],[Shipped]]="",tblOrders[[#This Row],[Order value]]&lt;=0),"",(tblOrders[[#This Row],[Order value]]-tblOrders[[#This Row],[Actual cost]])/tblOrders[[#This Row],[Order value]]))</f>
        <v/>
      </c>
      <c r="S59" s="40">
        <f>IF(tblOrders[[#This Row],[Released]]="","",IF(tblOrders[[#This Row],[Est hours]]&gt;0,tblOrders[[#This Row],[Actual hours]]/tblOrders[[#This Row],[Est hours]],""))</f>
        <v>0.905797101449275</v>
      </c>
      <c r="T59" s="38">
        <f>IF(tblOrders[[#This Row],[Released]]="","",MAX(0,IF(tblOrders[[#This Row],[Shipped]]="",AsOf,tblOrders[[#This Row],[Shipped]])-tblOrders[[#This Row],[Due]]))</f>
        <v>0</v>
      </c>
      <c r="U59" s="38">
        <f>IF(tblOrders[[#This Row],[Released]]="","",IF(tblOrders[[#This Row],[Shipped]]="","",tblOrders[[#This Row],[Shipped]]-tblOrders[[#This Row],[Released]]))</f>
        <v/>
      </c>
      <c r="V59" s="41" t="str">
        <f>IF(tblOrders[[#This Row],[Released]]="","",IF(tblOrders[[#This Row],[Shipped]]&lt;&gt;"","Complete",IF(tblOrders[[#This Row],[Due]]="","",IF(tblOrders[[#This Row],[Due]]&lt;AsOf,"Overdue",IF(tblOrders[[#This Row],[Due]]-AsOf&lt;=DueSoonDays,"Due soon","In progress")))))</f>
        <v>Due soon</v>
      </c>
      <c r="W59" s="41">
        <f>IF(tblOrders[[#This Row],[Released]]="","",IF(OR(tblOrders[[#This Row],[Shipped]]="",tblOrders[[#This Row],[Due]]=""),"",IF(tblOrders[[#This Row],[Shipped]]&lt;=tblOrders[[#This Row],[Due]],"Yes","No")))</f>
        <v/>
      </c>
      <c r="X59" s="42">
        <f>IF(tblOrders[[#This Row],[Released]]="","",IF(AND(tblOrders[[#This Row],[Shipped]]&lt;&gt;"",tblOrders[[#This Row],[Shipped]]&gt;=FFrom,tblOrders[[#This Row],[Shipped]]&lt;=FTo,OR(DashCustomer="",tblOrders[[#This Row],[Customer]]=DashCustomer)),tblOrders[[#This Row],[Shipped]],""))</f>
        <v/>
      </c>
      <c r="Y59" s="42">
        <f>IF(tblOrders[[#This Row],[Released]]="","",IF(AND(tblOrders[[#This Row],[Shipped]]="",OR(DashCustomer="",tblOrders[[#This Row],[Customer]]=DashCustomer)),tblOrders[[#This Row],[Released]],""))</f>
        <v>46274</v>
      </c>
      <c r="Z59"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0" spans="2:26">
      <c r="B60" s="28" t="s">
        <v>249</v>
      </c>
      <c r="C60" s="28" t="s">
        <v>86</v>
      </c>
      <c r="D60" s="28" t="s">
        <v>250</v>
      </c>
      <c r="E60" s="31">
        <v>40</v>
      </c>
      <c r="F60" s="30">
        <v>46276</v>
      </c>
      <c r="G60" s="30">
        <v>46295</v>
      </c>
      <c r="H60" s="30">
        <v>46295</v>
      </c>
      <c r="I60" s="28"/>
      <c r="J60" s="29">
        <v>1310</v>
      </c>
      <c r="K60" s="37">
        <v>8.5</v>
      </c>
      <c r="L60" s="29">
        <v>8.25</v>
      </c>
      <c r="M60" s="29">
        <v>120</v>
      </c>
      <c r="N60" s="29">
        <v>125</v>
      </c>
      <c r="O60" s="38">
        <f>IF(tblOrders[[#This Row],[Released]]="","",tblOrders[[#This Row],[Est hours]]*EstRate+tblOrders[[#This Row],[Est material]])</f>
        <v>927.5</v>
      </c>
      <c r="P60" s="38">
        <f>IF(tblOrders[[#This Row],[Released]]="","",tblOrders[[#This Row],[Actual hours]]*CostRate+tblOrders[[#This Row],[Actual material]])</f>
        <v>933.5</v>
      </c>
      <c r="Q60" s="38">
        <f>IF(tblOrders[[#This Row],[Released]]="","",IF(tblOrders[[#This Row],[Shipped]]="","",tblOrders[[#This Row],[Actual cost]]-tblOrders[[#This Row],[Est cost]]))</f>
        <v>6</v>
      </c>
      <c r="R60" s="39">
        <f>IF(tblOrders[[#This Row],[Released]]="","",IF(OR(tblOrders[[#This Row],[Shipped]]="",tblOrders[[#This Row],[Order value]]&lt;=0),"",(tblOrders[[#This Row],[Order value]]-tblOrders[[#This Row],[Actual cost]])/tblOrders[[#This Row],[Order value]]))</f>
        <v>0.287404580152672</v>
      </c>
      <c r="S60" s="40">
        <f>IF(tblOrders[[#This Row],[Released]]="","",IF(tblOrders[[#This Row],[Est hours]]&gt;0,tblOrders[[#This Row],[Actual hours]]/tblOrders[[#This Row],[Est hours]],""))</f>
        <v>0.970588235294118</v>
      </c>
      <c r="T60" s="38">
        <f>IF(tblOrders[[#This Row],[Released]]="","",MAX(0,IF(tblOrders[[#This Row],[Shipped]]="",AsOf,tblOrders[[#This Row],[Shipped]])-tblOrders[[#This Row],[Due]]))</f>
        <v>0</v>
      </c>
      <c r="U60" s="38">
        <f>IF(tblOrders[[#This Row],[Released]]="","",IF(tblOrders[[#This Row],[Shipped]]="","",tblOrders[[#This Row],[Shipped]]-tblOrders[[#This Row],[Released]]))</f>
        <v>19</v>
      </c>
      <c r="V60" s="41" t="str">
        <f>IF(tblOrders[[#This Row],[Released]]="","",IF(tblOrders[[#This Row],[Shipped]]&lt;&gt;"","Complete",IF(tblOrders[[#This Row],[Due]]="","",IF(tblOrders[[#This Row],[Due]]&lt;AsOf,"Overdue",IF(tblOrders[[#This Row],[Due]]-AsOf&lt;=DueSoonDays,"Due soon","In progress")))))</f>
        <v>Complete</v>
      </c>
      <c r="W60" s="41" t="str">
        <f>IF(tblOrders[[#This Row],[Released]]="","",IF(OR(tblOrders[[#This Row],[Shipped]]="",tblOrders[[#This Row],[Due]]=""),"",IF(tblOrders[[#This Row],[Shipped]]&lt;=tblOrders[[#This Row],[Due]],"Yes","No")))</f>
        <v>Yes</v>
      </c>
      <c r="X60" s="42">
        <f>IF(tblOrders[[#This Row],[Released]]="","",IF(AND(tblOrders[[#This Row],[Shipped]]&lt;&gt;"",tblOrders[[#This Row],[Shipped]]&gt;=FFrom,tblOrders[[#This Row],[Shipped]]&lt;=FTo,OR(DashCustomer="",tblOrders[[#This Row],[Customer]]=DashCustomer)),tblOrders[[#This Row],[Shipped]],""))</f>
        <v>46295</v>
      </c>
      <c r="Y60" s="42">
        <f>IF(tblOrders[[#This Row],[Released]]="","",IF(AND(tblOrders[[#This Row],[Shipped]]="",OR(DashCustomer="",tblOrders[[#This Row],[Customer]]=DashCustomer)),tblOrders[[#This Row],[Released]],""))</f>
        <v/>
      </c>
      <c r="Z60"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1" spans="2:26">
      <c r="B61" s="28" t="s">
        <v>251</v>
      </c>
      <c r="C61" s="28" t="s">
        <v>92</v>
      </c>
      <c r="D61" s="28" t="s">
        <v>252</v>
      </c>
      <c r="E61" s="31">
        <v>100</v>
      </c>
      <c r="F61" s="30">
        <v>46279</v>
      </c>
      <c r="G61" s="30">
        <v>46290</v>
      </c>
      <c r="H61" s="30"/>
      <c r="I61" s="28" t="s">
        <v>115</v>
      </c>
      <c r="J61" s="29">
        <v>1940</v>
      </c>
      <c r="K61" s="37">
        <v>13.5</v>
      </c>
      <c r="L61" s="29">
        <v>15</v>
      </c>
      <c r="M61" s="29">
        <v>150</v>
      </c>
      <c r="N61" s="29">
        <v>150</v>
      </c>
      <c r="O61" s="38">
        <f>IF(tblOrders[[#This Row],[Released]]="","",tblOrders[[#This Row],[Est hours]]*EstRate+tblOrders[[#This Row],[Est material]])</f>
        <v>1432.5</v>
      </c>
      <c r="P61" s="38">
        <f>IF(tblOrders[[#This Row],[Released]]="","",tblOrders[[#This Row],[Actual hours]]*CostRate+tblOrders[[#This Row],[Actual material]])</f>
        <v>1620</v>
      </c>
      <c r="Q61" s="38">
        <f>IF(tblOrders[[#This Row],[Released]]="","",IF(tblOrders[[#This Row],[Shipped]]="","",tblOrders[[#This Row],[Actual cost]]-tblOrders[[#This Row],[Est cost]]))</f>
        <v/>
      </c>
      <c r="R61" s="39">
        <f>IF(tblOrders[[#This Row],[Released]]="","",IF(OR(tblOrders[[#This Row],[Shipped]]="",tblOrders[[#This Row],[Order value]]&lt;=0),"",(tblOrders[[#This Row],[Order value]]-tblOrders[[#This Row],[Actual cost]])/tblOrders[[#This Row],[Order value]]))</f>
        <v/>
      </c>
      <c r="S61" s="40">
        <f>IF(tblOrders[[#This Row],[Released]]="","",IF(tblOrders[[#This Row],[Est hours]]&gt;0,tblOrders[[#This Row],[Actual hours]]/tblOrders[[#This Row],[Est hours]],""))</f>
        <v>1.11111111111111</v>
      </c>
      <c r="T61" s="38">
        <f>IF(tblOrders[[#This Row],[Released]]="","",MAX(0,IF(tblOrders[[#This Row],[Shipped]]="",AsOf,tblOrders[[#This Row],[Shipped]])-tblOrders[[#This Row],[Due]]))</f>
        <v>14</v>
      </c>
      <c r="U61" s="38">
        <f>IF(tblOrders[[#This Row],[Released]]="","",IF(tblOrders[[#This Row],[Shipped]]="","",tblOrders[[#This Row],[Shipped]]-tblOrders[[#This Row],[Released]]))</f>
        <v/>
      </c>
      <c r="V61" s="41" t="str">
        <f>IF(tblOrders[[#This Row],[Released]]="","",IF(tblOrders[[#This Row],[Shipped]]&lt;&gt;"","Complete",IF(tblOrders[[#This Row],[Due]]="","",IF(tblOrders[[#This Row],[Due]]&lt;AsOf,"Overdue",IF(tblOrders[[#This Row],[Due]]-AsOf&lt;=DueSoonDays,"Due soon","In progress")))))</f>
        <v>Overdue</v>
      </c>
      <c r="W61" s="41">
        <f>IF(tblOrders[[#This Row],[Released]]="","",IF(OR(tblOrders[[#This Row],[Shipped]]="",tblOrders[[#This Row],[Due]]=""),"",IF(tblOrders[[#This Row],[Shipped]]&lt;=tblOrders[[#This Row],[Due]],"Yes","No")))</f>
        <v/>
      </c>
      <c r="X61" s="42">
        <f>IF(tblOrders[[#This Row],[Released]]="","",IF(AND(tblOrders[[#This Row],[Shipped]]&lt;&gt;"",tblOrders[[#This Row],[Shipped]]&gt;=FFrom,tblOrders[[#This Row],[Shipped]]&lt;=FTo,OR(DashCustomer="",tblOrders[[#This Row],[Customer]]=DashCustomer)),tblOrders[[#This Row],[Shipped]],""))</f>
        <v/>
      </c>
      <c r="Y61" s="42">
        <f>IF(tblOrders[[#This Row],[Released]]="","",IF(AND(tblOrders[[#This Row],[Shipped]]="",OR(DashCustomer="",tblOrders[[#This Row],[Customer]]=DashCustomer)),tblOrders[[#This Row],[Released]],""))</f>
        <v>46279</v>
      </c>
      <c r="Z61"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2" spans="2:26">
      <c r="B62" s="28" t="s">
        <v>253</v>
      </c>
      <c r="C62" s="28" t="s">
        <v>83</v>
      </c>
      <c r="D62" s="28" t="s">
        <v>254</v>
      </c>
      <c r="E62" s="31">
        <v>2</v>
      </c>
      <c r="F62" s="30">
        <v>46279</v>
      </c>
      <c r="G62" s="30">
        <v>46307</v>
      </c>
      <c r="H62" s="30"/>
      <c r="I62" s="28" t="s">
        <v>117</v>
      </c>
      <c r="J62" s="29">
        <v>7920</v>
      </c>
      <c r="K62" s="37">
        <v>54</v>
      </c>
      <c r="L62" s="29">
        <v>63</v>
      </c>
      <c r="M62" s="29">
        <v>410</v>
      </c>
      <c r="N62" s="29">
        <v>410</v>
      </c>
      <c r="O62" s="38">
        <f>IF(tblOrders[[#This Row],[Released]]="","",tblOrders[[#This Row],[Est hours]]*EstRate+tblOrders[[#This Row],[Est material]])</f>
        <v>5540</v>
      </c>
      <c r="P62" s="38">
        <f>IF(tblOrders[[#This Row],[Released]]="","",tblOrders[[#This Row],[Actual hours]]*CostRate+tblOrders[[#This Row],[Actual material]])</f>
        <v>6584</v>
      </c>
      <c r="Q62" s="38">
        <f>IF(tblOrders[[#This Row],[Released]]="","",IF(tblOrders[[#This Row],[Shipped]]="","",tblOrders[[#This Row],[Actual cost]]-tblOrders[[#This Row],[Est cost]]))</f>
        <v/>
      </c>
      <c r="R62" s="39">
        <f>IF(tblOrders[[#This Row],[Released]]="","",IF(OR(tblOrders[[#This Row],[Shipped]]="",tblOrders[[#This Row],[Order value]]&lt;=0),"",(tblOrders[[#This Row],[Order value]]-tblOrders[[#This Row],[Actual cost]])/tblOrders[[#This Row],[Order value]]))</f>
        <v/>
      </c>
      <c r="S62" s="40">
        <f>IF(tblOrders[[#This Row],[Released]]="","",IF(tblOrders[[#This Row],[Est hours]]&gt;0,tblOrders[[#This Row],[Actual hours]]/tblOrders[[#This Row],[Est hours]],""))</f>
        <v>1.16666666666667</v>
      </c>
      <c r="T62" s="38">
        <f>IF(tblOrders[[#This Row],[Released]]="","",MAX(0,IF(tblOrders[[#This Row],[Shipped]]="",AsOf,tblOrders[[#This Row],[Shipped]])-tblOrders[[#This Row],[Due]]))</f>
        <v>0</v>
      </c>
      <c r="U62" s="38">
        <f>IF(tblOrders[[#This Row],[Released]]="","",IF(tblOrders[[#This Row],[Shipped]]="","",tblOrders[[#This Row],[Shipped]]-tblOrders[[#This Row],[Released]]))</f>
        <v/>
      </c>
      <c r="V62" s="41" t="str">
        <f>IF(tblOrders[[#This Row],[Released]]="","",IF(tblOrders[[#This Row],[Shipped]]&lt;&gt;"","Complete",IF(tblOrders[[#This Row],[Due]]="","",IF(tblOrders[[#This Row],[Due]]&lt;AsOf,"Overdue",IF(tblOrders[[#This Row],[Due]]-AsOf&lt;=DueSoonDays,"Due soon","In progress")))))</f>
        <v>Due soon</v>
      </c>
      <c r="W62" s="41">
        <f>IF(tblOrders[[#This Row],[Released]]="","",IF(OR(tblOrders[[#This Row],[Shipped]]="",tblOrders[[#This Row],[Due]]=""),"",IF(tblOrders[[#This Row],[Shipped]]&lt;=tblOrders[[#This Row],[Due]],"Yes","No")))</f>
        <v/>
      </c>
      <c r="X62" s="42">
        <f>IF(tblOrders[[#This Row],[Released]]="","",IF(AND(tblOrders[[#This Row],[Shipped]]&lt;&gt;"",tblOrders[[#This Row],[Shipped]]&gt;=FFrom,tblOrders[[#This Row],[Shipped]]&lt;=FTo,OR(DashCustomer="",tblOrders[[#This Row],[Customer]]=DashCustomer)),tblOrders[[#This Row],[Shipped]],""))</f>
        <v/>
      </c>
      <c r="Y62" s="42">
        <f>IF(tblOrders[[#This Row],[Released]]="","",IF(AND(tblOrders[[#This Row],[Shipped]]="",OR(DashCustomer="",tblOrders[[#This Row],[Customer]]=DashCustomer)),tblOrders[[#This Row],[Released]],""))</f>
        <v>46279</v>
      </c>
      <c r="Z62"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3" spans="2:26">
      <c r="B63" s="28" t="s">
        <v>255</v>
      </c>
      <c r="C63" s="28" t="s">
        <v>83</v>
      </c>
      <c r="D63" s="28" t="s">
        <v>256</v>
      </c>
      <c r="E63" s="31">
        <v>50</v>
      </c>
      <c r="F63" s="30">
        <v>46280</v>
      </c>
      <c r="G63" s="30">
        <v>46307</v>
      </c>
      <c r="H63" s="30"/>
      <c r="I63" s="28" t="s">
        <v>117</v>
      </c>
      <c r="J63" s="29">
        <v>5290</v>
      </c>
      <c r="K63" s="37">
        <v>37</v>
      </c>
      <c r="L63" s="29">
        <v>30.5</v>
      </c>
      <c r="M63" s="29">
        <v>350</v>
      </c>
      <c r="N63" s="29">
        <v>350</v>
      </c>
      <c r="O63" s="38">
        <f>IF(tblOrders[[#This Row],[Released]]="","",tblOrders[[#This Row],[Est hours]]*EstRate+tblOrders[[#This Row],[Est material]])</f>
        <v>3865</v>
      </c>
      <c r="P63" s="38">
        <f>IF(tblOrders[[#This Row],[Released]]="","",tblOrders[[#This Row],[Actual hours]]*CostRate+tblOrders[[#This Row],[Actual material]])</f>
        <v>3339</v>
      </c>
      <c r="Q63" s="38">
        <f>IF(tblOrders[[#This Row],[Released]]="","",IF(tblOrders[[#This Row],[Shipped]]="","",tblOrders[[#This Row],[Actual cost]]-tblOrders[[#This Row],[Est cost]]))</f>
        <v/>
      </c>
      <c r="R63" s="39">
        <f>IF(tblOrders[[#This Row],[Released]]="","",IF(OR(tblOrders[[#This Row],[Shipped]]="",tblOrders[[#This Row],[Order value]]&lt;=0),"",(tblOrders[[#This Row],[Order value]]-tblOrders[[#This Row],[Actual cost]])/tblOrders[[#This Row],[Order value]]))</f>
        <v/>
      </c>
      <c r="S63" s="40">
        <f>IF(tblOrders[[#This Row],[Released]]="","",IF(tblOrders[[#This Row],[Est hours]]&gt;0,tblOrders[[#This Row],[Actual hours]]/tblOrders[[#This Row],[Est hours]],""))</f>
        <v>0.824324324324324</v>
      </c>
      <c r="T63" s="38">
        <f>IF(tblOrders[[#This Row],[Released]]="","",MAX(0,IF(tblOrders[[#This Row],[Shipped]]="",AsOf,tblOrders[[#This Row],[Shipped]])-tblOrders[[#This Row],[Due]]))</f>
        <v>0</v>
      </c>
      <c r="U63" s="38">
        <f>IF(tblOrders[[#This Row],[Released]]="","",IF(tblOrders[[#This Row],[Shipped]]="","",tblOrders[[#This Row],[Shipped]]-tblOrders[[#This Row],[Released]]))</f>
        <v/>
      </c>
      <c r="V63" s="41" t="str">
        <f>IF(tblOrders[[#This Row],[Released]]="","",IF(tblOrders[[#This Row],[Shipped]]&lt;&gt;"","Complete",IF(tblOrders[[#This Row],[Due]]="","",IF(tblOrders[[#This Row],[Due]]&lt;AsOf,"Overdue",IF(tblOrders[[#This Row],[Due]]-AsOf&lt;=DueSoonDays,"Due soon","In progress")))))</f>
        <v>Due soon</v>
      </c>
      <c r="W63" s="41">
        <f>IF(tblOrders[[#This Row],[Released]]="","",IF(OR(tblOrders[[#This Row],[Shipped]]="",tblOrders[[#This Row],[Due]]=""),"",IF(tblOrders[[#This Row],[Shipped]]&lt;=tblOrders[[#This Row],[Due]],"Yes","No")))</f>
        <v/>
      </c>
      <c r="X63" s="42">
        <f>IF(tblOrders[[#This Row],[Released]]="","",IF(AND(tblOrders[[#This Row],[Shipped]]&lt;&gt;"",tblOrders[[#This Row],[Shipped]]&gt;=FFrom,tblOrders[[#This Row],[Shipped]]&lt;=FTo,OR(DashCustomer="",tblOrders[[#This Row],[Customer]]=DashCustomer)),tblOrders[[#This Row],[Shipped]],""))</f>
        <v/>
      </c>
      <c r="Y63" s="42">
        <f>IF(tblOrders[[#This Row],[Released]]="","",IF(AND(tblOrders[[#This Row],[Shipped]]="",OR(DashCustomer="",tblOrders[[#This Row],[Customer]]=DashCustomer)),tblOrders[[#This Row],[Released]],""))</f>
        <v>46280</v>
      </c>
      <c r="Z63"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4" spans="2:26">
      <c r="B64" s="28" t="s">
        <v>257</v>
      </c>
      <c r="C64" s="28" t="s">
        <v>83</v>
      </c>
      <c r="D64" s="28" t="s">
        <v>258</v>
      </c>
      <c r="E64" s="31">
        <v>5</v>
      </c>
      <c r="F64" s="30">
        <v>46281</v>
      </c>
      <c r="G64" s="30">
        <v>46302</v>
      </c>
      <c r="H64" s="30">
        <v>46302</v>
      </c>
      <c r="I64" s="28"/>
      <c r="J64" s="29">
        <v>5100</v>
      </c>
      <c r="K64" s="37">
        <v>32.5</v>
      </c>
      <c r="L64" s="29">
        <v>32.25</v>
      </c>
      <c r="M64" s="29">
        <v>710</v>
      </c>
      <c r="N64" s="29">
        <v>695</v>
      </c>
      <c r="O64" s="38">
        <f>IF(tblOrders[[#This Row],[Released]]="","",tblOrders[[#This Row],[Est hours]]*EstRate+tblOrders[[#This Row],[Est material]])</f>
        <v>3797.5</v>
      </c>
      <c r="P64" s="38">
        <f>IF(tblOrders[[#This Row],[Released]]="","",tblOrders[[#This Row],[Actual hours]]*CostRate+tblOrders[[#This Row],[Actual material]])</f>
        <v>3855.5</v>
      </c>
      <c r="Q64" s="38">
        <f>IF(tblOrders[[#This Row],[Released]]="","",IF(tblOrders[[#This Row],[Shipped]]="","",tblOrders[[#This Row],[Actual cost]]-tblOrders[[#This Row],[Est cost]]))</f>
        <v>58</v>
      </c>
      <c r="R64" s="39">
        <f>IF(tblOrders[[#This Row],[Released]]="","",IF(OR(tblOrders[[#This Row],[Shipped]]="",tblOrders[[#This Row],[Order value]]&lt;=0),"",(tblOrders[[#This Row],[Order value]]-tblOrders[[#This Row],[Actual cost]])/tblOrders[[#This Row],[Order value]]))</f>
        <v>0.244019607843137</v>
      </c>
      <c r="S64" s="40">
        <f>IF(tblOrders[[#This Row],[Released]]="","",IF(tblOrders[[#This Row],[Est hours]]&gt;0,tblOrders[[#This Row],[Actual hours]]/tblOrders[[#This Row],[Est hours]],""))</f>
        <v>0.992307692307692</v>
      </c>
      <c r="T64" s="38">
        <f>IF(tblOrders[[#This Row],[Released]]="","",MAX(0,IF(tblOrders[[#This Row],[Shipped]]="",AsOf,tblOrders[[#This Row],[Shipped]])-tblOrders[[#This Row],[Due]]))</f>
        <v>0</v>
      </c>
      <c r="U64" s="38">
        <f>IF(tblOrders[[#This Row],[Released]]="","",IF(tblOrders[[#This Row],[Shipped]]="","",tblOrders[[#This Row],[Shipped]]-tblOrders[[#This Row],[Released]]))</f>
        <v>21</v>
      </c>
      <c r="V64" s="41" t="str">
        <f>IF(tblOrders[[#This Row],[Released]]="","",IF(tblOrders[[#This Row],[Shipped]]&lt;&gt;"","Complete",IF(tblOrders[[#This Row],[Due]]="","",IF(tblOrders[[#This Row],[Due]]&lt;AsOf,"Overdue",IF(tblOrders[[#This Row],[Due]]-AsOf&lt;=DueSoonDays,"Due soon","In progress")))))</f>
        <v>Complete</v>
      </c>
      <c r="W64" s="41" t="str">
        <f>IF(tblOrders[[#This Row],[Released]]="","",IF(OR(tblOrders[[#This Row],[Shipped]]="",tblOrders[[#This Row],[Due]]=""),"",IF(tblOrders[[#This Row],[Shipped]]&lt;=tblOrders[[#This Row],[Due]],"Yes","No")))</f>
        <v>Yes</v>
      </c>
      <c r="X64" s="42">
        <f>IF(tblOrders[[#This Row],[Released]]="","",IF(AND(tblOrders[[#This Row],[Shipped]]&lt;&gt;"",tblOrders[[#This Row],[Shipped]]&gt;=FFrom,tblOrders[[#This Row],[Shipped]]&lt;=FTo,OR(DashCustomer="",tblOrders[[#This Row],[Customer]]=DashCustomer)),tblOrders[[#This Row],[Shipped]],""))</f>
        <v>46302</v>
      </c>
      <c r="Y64" s="42">
        <f>IF(tblOrders[[#This Row],[Released]]="","",IF(AND(tblOrders[[#This Row],[Shipped]]="",OR(DashCustomer="",tblOrders[[#This Row],[Customer]]=DashCustomer)),tblOrders[[#This Row],[Released]],""))</f>
        <v/>
      </c>
      <c r="Z64"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5" spans="2:26">
      <c r="B65" s="28" t="s">
        <v>259</v>
      </c>
      <c r="C65" s="28" t="s">
        <v>83</v>
      </c>
      <c r="D65" s="28" t="s">
        <v>260</v>
      </c>
      <c r="E65" s="31">
        <v>2</v>
      </c>
      <c r="F65" s="30">
        <v>46282</v>
      </c>
      <c r="G65" s="30">
        <v>46314</v>
      </c>
      <c r="H65" s="30"/>
      <c r="I65" s="28" t="s">
        <v>115</v>
      </c>
      <c r="J65" s="29">
        <v>5590</v>
      </c>
      <c r="K65" s="37">
        <v>42</v>
      </c>
      <c r="L65" s="29">
        <v>33.5</v>
      </c>
      <c r="M65" s="29">
        <v>240</v>
      </c>
      <c r="N65" s="29">
        <v>240</v>
      </c>
      <c r="O65" s="38">
        <f>IF(tblOrders[[#This Row],[Released]]="","",tblOrders[[#This Row],[Est hours]]*EstRate+tblOrders[[#This Row],[Est material]])</f>
        <v>4230</v>
      </c>
      <c r="P65" s="38">
        <f>IF(tblOrders[[#This Row],[Released]]="","",tblOrders[[#This Row],[Actual hours]]*CostRate+tblOrders[[#This Row],[Actual material]])</f>
        <v>3523</v>
      </c>
      <c r="Q65" s="38">
        <f>IF(tblOrders[[#This Row],[Released]]="","",IF(tblOrders[[#This Row],[Shipped]]="","",tblOrders[[#This Row],[Actual cost]]-tblOrders[[#This Row],[Est cost]]))</f>
        <v/>
      </c>
      <c r="R65" s="39">
        <f>IF(tblOrders[[#This Row],[Released]]="","",IF(OR(tblOrders[[#This Row],[Shipped]]="",tblOrders[[#This Row],[Order value]]&lt;=0),"",(tblOrders[[#This Row],[Order value]]-tblOrders[[#This Row],[Actual cost]])/tblOrders[[#This Row],[Order value]]))</f>
        <v/>
      </c>
      <c r="S65" s="40">
        <f>IF(tblOrders[[#This Row],[Released]]="","",IF(tblOrders[[#This Row],[Est hours]]&gt;0,tblOrders[[#This Row],[Actual hours]]/tblOrders[[#This Row],[Est hours]],""))</f>
        <v>0.797619047619048</v>
      </c>
      <c r="T65" s="38">
        <f>IF(tblOrders[[#This Row],[Released]]="","",MAX(0,IF(tblOrders[[#This Row],[Shipped]]="",AsOf,tblOrders[[#This Row],[Shipped]])-tblOrders[[#This Row],[Due]]))</f>
        <v>0</v>
      </c>
      <c r="U65" s="38">
        <f>IF(tblOrders[[#This Row],[Released]]="","",IF(tblOrders[[#This Row],[Shipped]]="","",tblOrders[[#This Row],[Shipped]]-tblOrders[[#This Row],[Released]]))</f>
        <v/>
      </c>
      <c r="V65" s="41" t="str">
        <f>IF(tblOrders[[#This Row],[Released]]="","",IF(tblOrders[[#This Row],[Shipped]]&lt;&gt;"","Complete",IF(tblOrders[[#This Row],[Due]]="","",IF(tblOrders[[#This Row],[Due]]&lt;AsOf,"Overdue",IF(tblOrders[[#This Row],[Due]]-AsOf&lt;=DueSoonDays,"Due soon","In progress")))))</f>
        <v>In progress</v>
      </c>
      <c r="W65" s="41">
        <f>IF(tblOrders[[#This Row],[Released]]="","",IF(OR(tblOrders[[#This Row],[Shipped]]="",tblOrders[[#This Row],[Due]]=""),"",IF(tblOrders[[#This Row],[Shipped]]&lt;=tblOrders[[#This Row],[Due]],"Yes","No")))</f>
        <v/>
      </c>
      <c r="X65" s="42">
        <f>IF(tblOrders[[#This Row],[Released]]="","",IF(AND(tblOrders[[#This Row],[Shipped]]&lt;&gt;"",tblOrders[[#This Row],[Shipped]]&gt;=FFrom,tblOrders[[#This Row],[Shipped]]&lt;=FTo,OR(DashCustomer="",tblOrders[[#This Row],[Customer]]=DashCustomer)),tblOrders[[#This Row],[Shipped]],""))</f>
        <v/>
      </c>
      <c r="Y65" s="42">
        <f>IF(tblOrders[[#This Row],[Released]]="","",IF(AND(tblOrders[[#This Row],[Shipped]]="",OR(DashCustomer="",tblOrders[[#This Row],[Customer]]=DashCustomer)),tblOrders[[#This Row],[Released]],""))</f>
        <v>46282</v>
      </c>
      <c r="Z65"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6" spans="2:26">
      <c r="B66" s="28" t="s">
        <v>261</v>
      </c>
      <c r="C66" s="28" t="s">
        <v>92</v>
      </c>
      <c r="D66" s="28" t="s">
        <v>262</v>
      </c>
      <c r="E66" s="31">
        <v>12</v>
      </c>
      <c r="F66" s="30">
        <v>46286</v>
      </c>
      <c r="G66" s="30">
        <v>46293</v>
      </c>
      <c r="H66" s="30">
        <v>46293</v>
      </c>
      <c r="I66" s="28"/>
      <c r="J66" s="29">
        <v>1230</v>
      </c>
      <c r="K66" s="37">
        <v>8.5</v>
      </c>
      <c r="L66" s="29">
        <v>10.25</v>
      </c>
      <c r="M66" s="29">
        <v>50</v>
      </c>
      <c r="N66" s="29">
        <v>50</v>
      </c>
      <c r="O66" s="38">
        <f>IF(tblOrders[[#This Row],[Released]]="","",tblOrders[[#This Row],[Est hours]]*EstRate+tblOrders[[#This Row],[Est material]])</f>
        <v>857.5</v>
      </c>
      <c r="P66" s="38">
        <f>IF(tblOrders[[#This Row],[Released]]="","",tblOrders[[#This Row],[Actual hours]]*CostRate+tblOrders[[#This Row],[Actual material]])</f>
        <v>1054.5</v>
      </c>
      <c r="Q66" s="38">
        <f>IF(tblOrders[[#This Row],[Released]]="","",IF(tblOrders[[#This Row],[Shipped]]="","",tblOrders[[#This Row],[Actual cost]]-tblOrders[[#This Row],[Est cost]]))</f>
        <v>197</v>
      </c>
      <c r="R66" s="39">
        <f>IF(tblOrders[[#This Row],[Released]]="","",IF(OR(tblOrders[[#This Row],[Shipped]]="",tblOrders[[#This Row],[Order value]]&lt;=0),"",(tblOrders[[#This Row],[Order value]]-tblOrders[[#This Row],[Actual cost]])/tblOrders[[#This Row],[Order value]]))</f>
        <v>0.142682926829268</v>
      </c>
      <c r="S66" s="40">
        <f>IF(tblOrders[[#This Row],[Released]]="","",IF(tblOrders[[#This Row],[Est hours]]&gt;0,tblOrders[[#This Row],[Actual hours]]/tblOrders[[#This Row],[Est hours]],""))</f>
        <v>1.20588235294118</v>
      </c>
      <c r="T66" s="38">
        <f>IF(tblOrders[[#This Row],[Released]]="","",MAX(0,IF(tblOrders[[#This Row],[Shipped]]="",AsOf,tblOrders[[#This Row],[Shipped]])-tblOrders[[#This Row],[Due]]))</f>
        <v>0</v>
      </c>
      <c r="U66" s="38">
        <f>IF(tblOrders[[#This Row],[Released]]="","",IF(tblOrders[[#This Row],[Shipped]]="","",tblOrders[[#This Row],[Shipped]]-tblOrders[[#This Row],[Released]]))</f>
        <v>7</v>
      </c>
      <c r="V66" s="41" t="str">
        <f>IF(tblOrders[[#This Row],[Released]]="","",IF(tblOrders[[#This Row],[Shipped]]&lt;&gt;"","Complete",IF(tblOrders[[#This Row],[Due]]="","",IF(tblOrders[[#This Row],[Due]]&lt;AsOf,"Overdue",IF(tblOrders[[#This Row],[Due]]-AsOf&lt;=DueSoonDays,"Due soon","In progress")))))</f>
        <v>Complete</v>
      </c>
      <c r="W66" s="41" t="str">
        <f>IF(tblOrders[[#This Row],[Released]]="","",IF(OR(tblOrders[[#This Row],[Shipped]]="",tblOrders[[#This Row],[Due]]=""),"",IF(tblOrders[[#This Row],[Shipped]]&lt;=tblOrders[[#This Row],[Due]],"Yes","No")))</f>
        <v>Yes</v>
      </c>
      <c r="X66" s="42">
        <f>IF(tblOrders[[#This Row],[Released]]="","",IF(AND(tblOrders[[#This Row],[Shipped]]&lt;&gt;"",tblOrders[[#This Row],[Shipped]]&gt;=FFrom,tblOrders[[#This Row],[Shipped]]&lt;=FTo,OR(DashCustomer="",tblOrders[[#This Row],[Customer]]=DashCustomer)),tblOrders[[#This Row],[Shipped]],""))</f>
        <v>46293</v>
      </c>
      <c r="Y66" s="42">
        <f>IF(tblOrders[[#This Row],[Released]]="","",IF(AND(tblOrders[[#This Row],[Shipped]]="",OR(DashCustomer="",tblOrders[[#This Row],[Customer]]=DashCustomer)),tblOrders[[#This Row],[Released]],""))</f>
        <v/>
      </c>
      <c r="Z66"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7" spans="2:26">
      <c r="B67" s="28" t="s">
        <v>263</v>
      </c>
      <c r="C67" s="28" t="s">
        <v>83</v>
      </c>
      <c r="D67" s="28" t="s">
        <v>264</v>
      </c>
      <c r="E67" s="31">
        <v>100</v>
      </c>
      <c r="F67" s="30">
        <v>46286</v>
      </c>
      <c r="G67" s="30">
        <v>46307</v>
      </c>
      <c r="H67" s="30">
        <v>46303</v>
      </c>
      <c r="I67" s="28"/>
      <c r="J67" s="29">
        <v>3360</v>
      </c>
      <c r="K67" s="37">
        <v>24.5</v>
      </c>
      <c r="L67" s="29">
        <v>25.25</v>
      </c>
      <c r="M67" s="29">
        <v>105</v>
      </c>
      <c r="N67" s="29">
        <v>105</v>
      </c>
      <c r="O67" s="38">
        <f>IF(tblOrders[[#This Row],[Released]]="","",tblOrders[[#This Row],[Est hours]]*EstRate+tblOrders[[#This Row],[Est material]])</f>
        <v>2432.5</v>
      </c>
      <c r="P67" s="38">
        <f>IF(tblOrders[[#This Row],[Released]]="","",tblOrders[[#This Row],[Actual hours]]*CostRate+tblOrders[[#This Row],[Actual material]])</f>
        <v>2579.5</v>
      </c>
      <c r="Q67" s="38">
        <f>IF(tblOrders[[#This Row],[Released]]="","",IF(tblOrders[[#This Row],[Shipped]]="","",tblOrders[[#This Row],[Actual cost]]-tblOrders[[#This Row],[Est cost]]))</f>
        <v>147</v>
      </c>
      <c r="R67" s="39">
        <f>IF(tblOrders[[#This Row],[Released]]="","",IF(OR(tblOrders[[#This Row],[Shipped]]="",tblOrders[[#This Row],[Order value]]&lt;=0),"",(tblOrders[[#This Row],[Order value]]-tblOrders[[#This Row],[Actual cost]])/tblOrders[[#This Row],[Order value]]))</f>
        <v>0.232291666666667</v>
      </c>
      <c r="S67" s="40">
        <f>IF(tblOrders[[#This Row],[Released]]="","",IF(tblOrders[[#This Row],[Est hours]]&gt;0,tblOrders[[#This Row],[Actual hours]]/tblOrders[[#This Row],[Est hours]],""))</f>
        <v>1.03061224489796</v>
      </c>
      <c r="T67" s="38">
        <f>IF(tblOrders[[#This Row],[Released]]="","",MAX(0,IF(tblOrders[[#This Row],[Shipped]]="",AsOf,tblOrders[[#This Row],[Shipped]])-tblOrders[[#This Row],[Due]]))</f>
        <v>0</v>
      </c>
      <c r="U67" s="38">
        <f>IF(tblOrders[[#This Row],[Released]]="","",IF(tblOrders[[#This Row],[Shipped]]="","",tblOrders[[#This Row],[Shipped]]-tblOrders[[#This Row],[Released]]))</f>
        <v>17</v>
      </c>
      <c r="V67" s="41" t="str">
        <f>IF(tblOrders[[#This Row],[Released]]="","",IF(tblOrders[[#This Row],[Shipped]]&lt;&gt;"","Complete",IF(tblOrders[[#This Row],[Due]]="","",IF(tblOrders[[#This Row],[Due]]&lt;AsOf,"Overdue",IF(tblOrders[[#This Row],[Due]]-AsOf&lt;=DueSoonDays,"Due soon","In progress")))))</f>
        <v>Complete</v>
      </c>
      <c r="W67" s="41" t="str">
        <f>IF(tblOrders[[#This Row],[Released]]="","",IF(OR(tblOrders[[#This Row],[Shipped]]="",tblOrders[[#This Row],[Due]]=""),"",IF(tblOrders[[#This Row],[Shipped]]&lt;=tblOrders[[#This Row],[Due]],"Yes","No")))</f>
        <v>Yes</v>
      </c>
      <c r="X67" s="42">
        <f>IF(tblOrders[[#This Row],[Released]]="","",IF(AND(tblOrders[[#This Row],[Shipped]]&lt;&gt;"",tblOrders[[#This Row],[Shipped]]&gt;=FFrom,tblOrders[[#This Row],[Shipped]]&lt;=FTo,OR(DashCustomer="",tblOrders[[#This Row],[Customer]]=DashCustomer)),tblOrders[[#This Row],[Shipped]],""))</f>
        <v>46303</v>
      </c>
      <c r="Y67" s="42">
        <f>IF(tblOrders[[#This Row],[Released]]="","",IF(AND(tblOrders[[#This Row],[Shipped]]="",OR(DashCustomer="",tblOrders[[#This Row],[Customer]]=DashCustomer)),tblOrders[[#This Row],[Released]],""))</f>
        <v/>
      </c>
      <c r="Z6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8" spans="2:26">
      <c r="B68" s="28" t="s">
        <v>265</v>
      </c>
      <c r="C68" s="28" t="s">
        <v>95</v>
      </c>
      <c r="D68" s="28" t="s">
        <v>266</v>
      </c>
      <c r="E68" s="31">
        <v>40</v>
      </c>
      <c r="F68" s="30">
        <v>46287</v>
      </c>
      <c r="G68" s="30">
        <v>46307</v>
      </c>
      <c r="H68" s="30"/>
      <c r="I68" s="28" t="s">
        <v>115</v>
      </c>
      <c r="J68" s="29">
        <v>3950</v>
      </c>
      <c r="K68" s="37">
        <v>26</v>
      </c>
      <c r="L68" s="29">
        <v>25.5</v>
      </c>
      <c r="M68" s="29">
        <v>175</v>
      </c>
      <c r="N68" s="29">
        <v>175</v>
      </c>
      <c r="O68" s="38">
        <f>IF(tblOrders[[#This Row],[Released]]="","",tblOrders[[#This Row],[Est hours]]*EstRate+tblOrders[[#This Row],[Est material]])</f>
        <v>2645</v>
      </c>
      <c r="P68" s="38">
        <f>IF(tblOrders[[#This Row],[Released]]="","",tblOrders[[#This Row],[Actual hours]]*CostRate+tblOrders[[#This Row],[Actual material]])</f>
        <v>2674</v>
      </c>
      <c r="Q68" s="38">
        <f>IF(tblOrders[[#This Row],[Released]]="","",IF(tblOrders[[#This Row],[Shipped]]="","",tblOrders[[#This Row],[Actual cost]]-tblOrders[[#This Row],[Est cost]]))</f>
        <v/>
      </c>
      <c r="R68" s="39">
        <f>IF(tblOrders[[#This Row],[Released]]="","",IF(OR(tblOrders[[#This Row],[Shipped]]="",tblOrders[[#This Row],[Order value]]&lt;=0),"",(tblOrders[[#This Row],[Order value]]-tblOrders[[#This Row],[Actual cost]])/tblOrders[[#This Row],[Order value]]))</f>
        <v/>
      </c>
      <c r="S68" s="40">
        <f>IF(tblOrders[[#This Row],[Released]]="","",IF(tblOrders[[#This Row],[Est hours]]&gt;0,tblOrders[[#This Row],[Actual hours]]/tblOrders[[#This Row],[Est hours]],""))</f>
        <v>0.980769230769231</v>
      </c>
      <c r="T68" s="38">
        <f>IF(tblOrders[[#This Row],[Released]]="","",MAX(0,IF(tblOrders[[#This Row],[Shipped]]="",AsOf,tblOrders[[#This Row],[Shipped]])-tblOrders[[#This Row],[Due]]))</f>
        <v>0</v>
      </c>
      <c r="U68" s="38">
        <f>IF(tblOrders[[#This Row],[Released]]="","",IF(tblOrders[[#This Row],[Shipped]]="","",tblOrders[[#This Row],[Shipped]]-tblOrders[[#This Row],[Released]]))</f>
        <v/>
      </c>
      <c r="V68" s="41" t="str">
        <f>IF(tblOrders[[#This Row],[Released]]="","",IF(tblOrders[[#This Row],[Shipped]]&lt;&gt;"","Complete",IF(tblOrders[[#This Row],[Due]]="","",IF(tblOrders[[#This Row],[Due]]&lt;AsOf,"Overdue",IF(tblOrders[[#This Row],[Due]]-AsOf&lt;=DueSoonDays,"Due soon","In progress")))))</f>
        <v>Due soon</v>
      </c>
      <c r="W68" s="41">
        <f>IF(tblOrders[[#This Row],[Released]]="","",IF(OR(tblOrders[[#This Row],[Shipped]]="",tblOrders[[#This Row],[Due]]=""),"",IF(tblOrders[[#This Row],[Shipped]]&lt;=tblOrders[[#This Row],[Due]],"Yes","No")))</f>
        <v/>
      </c>
      <c r="X68" s="42">
        <f>IF(tblOrders[[#This Row],[Released]]="","",IF(AND(tblOrders[[#This Row],[Shipped]]&lt;&gt;"",tblOrders[[#This Row],[Shipped]]&gt;=FFrom,tblOrders[[#This Row],[Shipped]]&lt;=FTo,OR(DashCustomer="",tblOrders[[#This Row],[Customer]]=DashCustomer)),tblOrders[[#This Row],[Shipped]],""))</f>
        <v/>
      </c>
      <c r="Y68" s="42">
        <f>IF(tblOrders[[#This Row],[Released]]="","",IF(AND(tblOrders[[#This Row],[Shipped]]="",OR(DashCustomer="",tblOrders[[#This Row],[Customer]]=DashCustomer)),tblOrders[[#This Row],[Released]],""))</f>
        <v>46287</v>
      </c>
      <c r="Z6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69" spans="2:26">
      <c r="B69" s="28" t="s">
        <v>267</v>
      </c>
      <c r="C69" s="28" t="s">
        <v>95</v>
      </c>
      <c r="D69" s="28" t="s">
        <v>268</v>
      </c>
      <c r="E69" s="31">
        <v>2</v>
      </c>
      <c r="F69" s="30">
        <v>46288</v>
      </c>
      <c r="G69" s="30">
        <v>46307</v>
      </c>
      <c r="H69" s="30"/>
      <c r="I69" s="28" t="s">
        <v>113</v>
      </c>
      <c r="J69" s="29">
        <v>3890</v>
      </c>
      <c r="K69" s="37">
        <v>26.5</v>
      </c>
      <c r="L69" s="29">
        <v>18.25</v>
      </c>
      <c r="M69" s="29">
        <v>180</v>
      </c>
      <c r="N69" s="29">
        <v>180</v>
      </c>
      <c r="O69" s="38">
        <f>IF(tblOrders[[#This Row],[Released]]="","",tblOrders[[#This Row],[Est hours]]*EstRate+tblOrders[[#This Row],[Est material]])</f>
        <v>2697.5</v>
      </c>
      <c r="P69" s="38">
        <f>IF(tblOrders[[#This Row],[Released]]="","",tblOrders[[#This Row],[Actual hours]]*CostRate+tblOrders[[#This Row],[Actual material]])</f>
        <v>1968.5</v>
      </c>
      <c r="Q69" s="38">
        <f>IF(tblOrders[[#This Row],[Released]]="","",IF(tblOrders[[#This Row],[Shipped]]="","",tblOrders[[#This Row],[Actual cost]]-tblOrders[[#This Row],[Est cost]]))</f>
        <v/>
      </c>
      <c r="R69" s="39">
        <f>IF(tblOrders[[#This Row],[Released]]="","",IF(OR(tblOrders[[#This Row],[Shipped]]="",tblOrders[[#This Row],[Order value]]&lt;=0),"",(tblOrders[[#This Row],[Order value]]-tblOrders[[#This Row],[Actual cost]])/tblOrders[[#This Row],[Order value]]))</f>
        <v/>
      </c>
      <c r="S69" s="40">
        <f>IF(tblOrders[[#This Row],[Released]]="","",IF(tblOrders[[#This Row],[Est hours]]&gt;0,tblOrders[[#This Row],[Actual hours]]/tblOrders[[#This Row],[Est hours]],""))</f>
        <v>0.688679245283019</v>
      </c>
      <c r="T69" s="38">
        <f>IF(tblOrders[[#This Row],[Released]]="","",MAX(0,IF(tblOrders[[#This Row],[Shipped]]="",AsOf,tblOrders[[#This Row],[Shipped]])-tblOrders[[#This Row],[Due]]))</f>
        <v>0</v>
      </c>
      <c r="U69" s="38">
        <f>IF(tblOrders[[#This Row],[Released]]="","",IF(tblOrders[[#This Row],[Shipped]]="","",tblOrders[[#This Row],[Shipped]]-tblOrders[[#This Row],[Released]]))</f>
        <v/>
      </c>
      <c r="V69" s="41" t="str">
        <f>IF(tblOrders[[#This Row],[Released]]="","",IF(tblOrders[[#This Row],[Shipped]]&lt;&gt;"","Complete",IF(tblOrders[[#This Row],[Due]]="","",IF(tblOrders[[#This Row],[Due]]&lt;AsOf,"Overdue",IF(tblOrders[[#This Row],[Due]]-AsOf&lt;=DueSoonDays,"Due soon","In progress")))))</f>
        <v>Due soon</v>
      </c>
      <c r="W69" s="41">
        <f>IF(tblOrders[[#This Row],[Released]]="","",IF(OR(tblOrders[[#This Row],[Shipped]]="",tblOrders[[#This Row],[Due]]=""),"",IF(tblOrders[[#This Row],[Shipped]]&lt;=tblOrders[[#This Row],[Due]],"Yes","No")))</f>
        <v/>
      </c>
      <c r="X69" s="42">
        <f>IF(tblOrders[[#This Row],[Released]]="","",IF(AND(tblOrders[[#This Row],[Shipped]]&lt;&gt;"",tblOrders[[#This Row],[Shipped]]&gt;=FFrom,tblOrders[[#This Row],[Shipped]]&lt;=FTo,OR(DashCustomer="",tblOrders[[#This Row],[Customer]]=DashCustomer)),tblOrders[[#This Row],[Shipped]],""))</f>
        <v/>
      </c>
      <c r="Y69" s="42">
        <f>IF(tblOrders[[#This Row],[Released]]="","",IF(AND(tblOrders[[#This Row],[Shipped]]="",OR(DashCustomer="",tblOrders[[#This Row],[Customer]]=DashCustomer)),tblOrders[[#This Row],[Released]],""))</f>
        <v>46288</v>
      </c>
      <c r="Z69"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0" spans="2:26">
      <c r="B70" s="28" t="s">
        <v>269</v>
      </c>
      <c r="C70" s="28" t="s">
        <v>95</v>
      </c>
      <c r="D70" s="28" t="s">
        <v>270</v>
      </c>
      <c r="E70" s="31">
        <v>10</v>
      </c>
      <c r="F70" s="30">
        <v>46289</v>
      </c>
      <c r="G70" s="30">
        <v>46308</v>
      </c>
      <c r="H70" s="30">
        <v>46304</v>
      </c>
      <c r="I70" s="28"/>
      <c r="J70" s="29">
        <v>3050</v>
      </c>
      <c r="K70" s="37">
        <v>19.5</v>
      </c>
      <c r="L70" s="29">
        <v>24.25</v>
      </c>
      <c r="M70" s="29">
        <v>170</v>
      </c>
      <c r="N70" s="29">
        <v>185</v>
      </c>
      <c r="O70" s="38">
        <f>IF(tblOrders[[#This Row],[Released]]="","",tblOrders[[#This Row],[Est hours]]*EstRate+tblOrders[[#This Row],[Est material]])</f>
        <v>2022.5</v>
      </c>
      <c r="P70" s="38">
        <f>IF(tblOrders[[#This Row],[Released]]="","",tblOrders[[#This Row],[Actual hours]]*CostRate+tblOrders[[#This Row],[Actual material]])</f>
        <v>2561.5</v>
      </c>
      <c r="Q70" s="38">
        <f>IF(tblOrders[[#This Row],[Released]]="","",IF(tblOrders[[#This Row],[Shipped]]="","",tblOrders[[#This Row],[Actual cost]]-tblOrders[[#This Row],[Est cost]]))</f>
        <v>539</v>
      </c>
      <c r="R70" s="39">
        <f>IF(tblOrders[[#This Row],[Released]]="","",IF(OR(tblOrders[[#This Row],[Shipped]]="",tblOrders[[#This Row],[Order value]]&lt;=0),"",(tblOrders[[#This Row],[Order value]]-tblOrders[[#This Row],[Actual cost]])/tblOrders[[#This Row],[Order value]]))</f>
        <v>0.16016393442623</v>
      </c>
      <c r="S70" s="40">
        <f>IF(tblOrders[[#This Row],[Released]]="","",IF(tblOrders[[#This Row],[Est hours]]&gt;0,tblOrders[[#This Row],[Actual hours]]/tblOrders[[#This Row],[Est hours]],""))</f>
        <v>1.24358974358974</v>
      </c>
      <c r="T70" s="38">
        <f>IF(tblOrders[[#This Row],[Released]]="","",MAX(0,IF(tblOrders[[#This Row],[Shipped]]="",AsOf,tblOrders[[#This Row],[Shipped]])-tblOrders[[#This Row],[Due]]))</f>
        <v>0</v>
      </c>
      <c r="U70" s="38">
        <f>IF(tblOrders[[#This Row],[Released]]="","",IF(tblOrders[[#This Row],[Shipped]]="","",tblOrders[[#This Row],[Shipped]]-tblOrders[[#This Row],[Released]]))</f>
        <v>15</v>
      </c>
      <c r="V70" s="41" t="str">
        <f>IF(tblOrders[[#This Row],[Released]]="","",IF(tblOrders[[#This Row],[Shipped]]&lt;&gt;"","Complete",IF(tblOrders[[#This Row],[Due]]="","",IF(tblOrders[[#This Row],[Due]]&lt;AsOf,"Overdue",IF(tblOrders[[#This Row],[Due]]-AsOf&lt;=DueSoonDays,"Due soon","In progress")))))</f>
        <v>Complete</v>
      </c>
      <c r="W70" s="41" t="str">
        <f>IF(tblOrders[[#This Row],[Released]]="","",IF(OR(tblOrders[[#This Row],[Shipped]]="",tblOrders[[#This Row],[Due]]=""),"",IF(tblOrders[[#This Row],[Shipped]]&lt;=tblOrders[[#This Row],[Due]],"Yes","No")))</f>
        <v>Yes</v>
      </c>
      <c r="X70" s="42">
        <f>IF(tblOrders[[#This Row],[Released]]="","",IF(AND(tblOrders[[#This Row],[Shipped]]&lt;&gt;"",tblOrders[[#This Row],[Shipped]]&gt;=FFrom,tblOrders[[#This Row],[Shipped]]&lt;=FTo,OR(DashCustomer="",tblOrders[[#This Row],[Customer]]=DashCustomer)),tblOrders[[#This Row],[Shipped]],""))</f>
        <v>46304</v>
      </c>
      <c r="Y70" s="42">
        <f>IF(tblOrders[[#This Row],[Released]]="","",IF(AND(tblOrders[[#This Row],[Shipped]]="",OR(DashCustomer="",tblOrders[[#This Row],[Customer]]=DashCustomer)),tblOrders[[#This Row],[Released]],""))</f>
        <v/>
      </c>
      <c r="Z70"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1" spans="2:26">
      <c r="B71" s="28" t="s">
        <v>271</v>
      </c>
      <c r="C71" s="28" t="s">
        <v>95</v>
      </c>
      <c r="D71" s="28" t="s">
        <v>272</v>
      </c>
      <c r="E71" s="31">
        <v>50</v>
      </c>
      <c r="F71" s="30">
        <v>46293</v>
      </c>
      <c r="G71" s="30">
        <v>46317</v>
      </c>
      <c r="H71" s="30"/>
      <c r="I71" s="28" t="s">
        <v>111</v>
      </c>
      <c r="J71" s="29">
        <v>3770</v>
      </c>
      <c r="K71" s="37">
        <v>24</v>
      </c>
      <c r="L71" s="29">
        <v>14.75</v>
      </c>
      <c r="M71" s="29">
        <v>355</v>
      </c>
      <c r="N71" s="29">
        <v>355</v>
      </c>
      <c r="O71" s="38">
        <f>IF(tblOrders[[#This Row],[Released]]="","",tblOrders[[#This Row],[Est hours]]*EstRate+tblOrders[[#This Row],[Est material]])</f>
        <v>2635</v>
      </c>
      <c r="P71" s="38">
        <f>IF(tblOrders[[#This Row],[Released]]="","",tblOrders[[#This Row],[Actual hours]]*CostRate+tblOrders[[#This Row],[Actual material]])</f>
        <v>1800.5</v>
      </c>
      <c r="Q71" s="38">
        <f>IF(tblOrders[[#This Row],[Released]]="","",IF(tblOrders[[#This Row],[Shipped]]="","",tblOrders[[#This Row],[Actual cost]]-tblOrders[[#This Row],[Est cost]]))</f>
        <v/>
      </c>
      <c r="R71" s="39">
        <f>IF(tblOrders[[#This Row],[Released]]="","",IF(OR(tblOrders[[#This Row],[Shipped]]="",tblOrders[[#This Row],[Order value]]&lt;=0),"",(tblOrders[[#This Row],[Order value]]-tblOrders[[#This Row],[Actual cost]])/tblOrders[[#This Row],[Order value]]))</f>
        <v/>
      </c>
      <c r="S71" s="40">
        <f>IF(tblOrders[[#This Row],[Released]]="","",IF(tblOrders[[#This Row],[Est hours]]&gt;0,tblOrders[[#This Row],[Actual hours]]/tblOrders[[#This Row],[Est hours]],""))</f>
        <v>0.614583333333333</v>
      </c>
      <c r="T71" s="38">
        <f>IF(tblOrders[[#This Row],[Released]]="","",MAX(0,IF(tblOrders[[#This Row],[Shipped]]="",AsOf,tblOrders[[#This Row],[Shipped]])-tblOrders[[#This Row],[Due]]))</f>
        <v>0</v>
      </c>
      <c r="U71" s="38">
        <f>IF(tblOrders[[#This Row],[Released]]="","",IF(tblOrders[[#This Row],[Shipped]]="","",tblOrders[[#This Row],[Shipped]]-tblOrders[[#This Row],[Released]]))</f>
        <v/>
      </c>
      <c r="V71" s="41" t="str">
        <f>IF(tblOrders[[#This Row],[Released]]="","",IF(tblOrders[[#This Row],[Shipped]]&lt;&gt;"","Complete",IF(tblOrders[[#This Row],[Due]]="","",IF(tblOrders[[#This Row],[Due]]&lt;AsOf,"Overdue",IF(tblOrders[[#This Row],[Due]]-AsOf&lt;=DueSoonDays,"Due soon","In progress")))))</f>
        <v>In progress</v>
      </c>
      <c r="W71" s="41">
        <f>IF(tblOrders[[#This Row],[Released]]="","",IF(OR(tblOrders[[#This Row],[Shipped]]="",tblOrders[[#This Row],[Due]]=""),"",IF(tblOrders[[#This Row],[Shipped]]&lt;=tblOrders[[#This Row],[Due]],"Yes","No")))</f>
        <v/>
      </c>
      <c r="X71" s="42">
        <f>IF(tblOrders[[#This Row],[Released]]="","",IF(AND(tblOrders[[#This Row],[Shipped]]&lt;&gt;"",tblOrders[[#This Row],[Shipped]]&gt;=FFrom,tblOrders[[#This Row],[Shipped]]&lt;=FTo,OR(DashCustomer="",tblOrders[[#This Row],[Customer]]=DashCustomer)),tblOrders[[#This Row],[Shipped]],""))</f>
        <v/>
      </c>
      <c r="Y71" s="42">
        <f>IF(tblOrders[[#This Row],[Released]]="","",IF(AND(tblOrders[[#This Row],[Shipped]]="",OR(DashCustomer="",tblOrders[[#This Row],[Customer]]=DashCustomer)),tblOrders[[#This Row],[Released]],""))</f>
        <v>46293</v>
      </c>
      <c r="Z71"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2" spans="2:26">
      <c r="B72" s="28" t="s">
        <v>273</v>
      </c>
      <c r="C72" s="28" t="s">
        <v>98</v>
      </c>
      <c r="D72" s="28" t="s">
        <v>274</v>
      </c>
      <c r="E72" s="31">
        <v>5</v>
      </c>
      <c r="F72" s="30">
        <v>46293</v>
      </c>
      <c r="G72" s="30">
        <v>46308</v>
      </c>
      <c r="H72" s="30"/>
      <c r="I72" s="28" t="s">
        <v>115</v>
      </c>
      <c r="J72" s="29">
        <v>1540</v>
      </c>
      <c r="K72" s="37">
        <v>9.5</v>
      </c>
      <c r="L72" s="29">
        <v>7.5</v>
      </c>
      <c r="M72" s="29">
        <v>160</v>
      </c>
      <c r="N72" s="29">
        <v>160</v>
      </c>
      <c r="O72" s="38">
        <f>IF(tblOrders[[#This Row],[Released]]="","",tblOrders[[#This Row],[Est hours]]*EstRate+tblOrders[[#This Row],[Est material]])</f>
        <v>1062.5</v>
      </c>
      <c r="P72" s="38">
        <f>IF(tblOrders[[#This Row],[Released]]="","",tblOrders[[#This Row],[Actual hours]]*CostRate+tblOrders[[#This Row],[Actual material]])</f>
        <v>895</v>
      </c>
      <c r="Q72" s="38">
        <f>IF(tblOrders[[#This Row],[Released]]="","",IF(tblOrders[[#This Row],[Shipped]]="","",tblOrders[[#This Row],[Actual cost]]-tblOrders[[#This Row],[Est cost]]))</f>
        <v/>
      </c>
      <c r="R72" s="39">
        <f>IF(tblOrders[[#This Row],[Released]]="","",IF(OR(tblOrders[[#This Row],[Shipped]]="",tblOrders[[#This Row],[Order value]]&lt;=0),"",(tblOrders[[#This Row],[Order value]]-tblOrders[[#This Row],[Actual cost]])/tblOrders[[#This Row],[Order value]]))</f>
        <v/>
      </c>
      <c r="S72" s="40">
        <f>IF(tblOrders[[#This Row],[Released]]="","",IF(tblOrders[[#This Row],[Est hours]]&gt;0,tblOrders[[#This Row],[Actual hours]]/tblOrders[[#This Row],[Est hours]],""))</f>
        <v>0.789473684210526</v>
      </c>
      <c r="T72" s="38">
        <f>IF(tblOrders[[#This Row],[Released]]="","",MAX(0,IF(tblOrders[[#This Row],[Shipped]]="",AsOf,tblOrders[[#This Row],[Shipped]])-tblOrders[[#This Row],[Due]]))</f>
        <v>0</v>
      </c>
      <c r="U72" s="38">
        <f>IF(tblOrders[[#This Row],[Released]]="","",IF(tblOrders[[#This Row],[Shipped]]="","",tblOrders[[#This Row],[Shipped]]-tblOrders[[#This Row],[Released]]))</f>
        <v/>
      </c>
      <c r="V72" s="41" t="str">
        <f>IF(tblOrders[[#This Row],[Released]]="","",IF(tblOrders[[#This Row],[Shipped]]&lt;&gt;"","Complete",IF(tblOrders[[#This Row],[Due]]="","",IF(tblOrders[[#This Row],[Due]]&lt;AsOf,"Overdue",IF(tblOrders[[#This Row],[Due]]-AsOf&lt;=DueSoonDays,"Due soon","In progress")))))</f>
        <v>Due soon</v>
      </c>
      <c r="W72" s="41">
        <f>IF(tblOrders[[#This Row],[Released]]="","",IF(OR(tblOrders[[#This Row],[Shipped]]="",tblOrders[[#This Row],[Due]]=""),"",IF(tblOrders[[#This Row],[Shipped]]&lt;=tblOrders[[#This Row],[Due]],"Yes","No")))</f>
        <v/>
      </c>
      <c r="X72" s="42">
        <f>IF(tblOrders[[#This Row],[Released]]="","",IF(AND(tblOrders[[#This Row],[Shipped]]&lt;&gt;"",tblOrders[[#This Row],[Shipped]]&gt;=FFrom,tblOrders[[#This Row],[Shipped]]&lt;=FTo,OR(DashCustomer="",tblOrders[[#This Row],[Customer]]=DashCustomer)),tblOrders[[#This Row],[Shipped]],""))</f>
        <v/>
      </c>
      <c r="Y72" s="42">
        <f>IF(tblOrders[[#This Row],[Released]]="","",IF(AND(tblOrders[[#This Row],[Shipped]]="",OR(DashCustomer="",tblOrders[[#This Row],[Customer]]=DashCustomer)),tblOrders[[#This Row],[Released]],""))</f>
        <v>46293</v>
      </c>
      <c r="Z72"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3" spans="2:26">
      <c r="B73" s="28" t="s">
        <v>275</v>
      </c>
      <c r="C73" s="28" t="s">
        <v>83</v>
      </c>
      <c r="D73" s="28" t="s">
        <v>276</v>
      </c>
      <c r="E73" s="31">
        <v>50</v>
      </c>
      <c r="F73" s="30">
        <v>46293</v>
      </c>
      <c r="G73" s="30">
        <v>46314</v>
      </c>
      <c r="H73" s="30"/>
      <c r="I73" s="28" t="s">
        <v>111</v>
      </c>
      <c r="J73" s="29">
        <v>3580</v>
      </c>
      <c r="K73" s="37">
        <v>22</v>
      </c>
      <c r="L73" s="29">
        <v>15</v>
      </c>
      <c r="M73" s="29">
        <v>315</v>
      </c>
      <c r="N73" s="29">
        <v>315</v>
      </c>
      <c r="O73" s="38">
        <f>IF(tblOrders[[#This Row],[Released]]="","",tblOrders[[#This Row],[Est hours]]*EstRate+tblOrders[[#This Row],[Est material]])</f>
        <v>2405</v>
      </c>
      <c r="P73" s="38">
        <f>IF(tblOrders[[#This Row],[Released]]="","",tblOrders[[#This Row],[Actual hours]]*CostRate+tblOrders[[#This Row],[Actual material]])</f>
        <v>1785</v>
      </c>
      <c r="Q73" s="38">
        <f>IF(tblOrders[[#This Row],[Released]]="","",IF(tblOrders[[#This Row],[Shipped]]="","",tblOrders[[#This Row],[Actual cost]]-tblOrders[[#This Row],[Est cost]]))</f>
        <v/>
      </c>
      <c r="R73" s="39">
        <f>IF(tblOrders[[#This Row],[Released]]="","",IF(OR(tblOrders[[#This Row],[Shipped]]="",tblOrders[[#This Row],[Order value]]&lt;=0),"",(tblOrders[[#This Row],[Order value]]-tblOrders[[#This Row],[Actual cost]])/tblOrders[[#This Row],[Order value]]))</f>
        <v/>
      </c>
      <c r="S73" s="40">
        <f>IF(tblOrders[[#This Row],[Released]]="","",IF(tblOrders[[#This Row],[Est hours]]&gt;0,tblOrders[[#This Row],[Actual hours]]/tblOrders[[#This Row],[Est hours]],""))</f>
        <v>0.681818181818182</v>
      </c>
      <c r="T73" s="38">
        <f>IF(tblOrders[[#This Row],[Released]]="","",MAX(0,IF(tblOrders[[#This Row],[Shipped]]="",AsOf,tblOrders[[#This Row],[Shipped]])-tblOrders[[#This Row],[Due]]))</f>
        <v>0</v>
      </c>
      <c r="U73" s="38">
        <f>IF(tblOrders[[#This Row],[Released]]="","",IF(tblOrders[[#This Row],[Shipped]]="","",tblOrders[[#This Row],[Shipped]]-tblOrders[[#This Row],[Released]]))</f>
        <v/>
      </c>
      <c r="V73" s="41" t="str">
        <f>IF(tblOrders[[#This Row],[Released]]="","",IF(tblOrders[[#This Row],[Shipped]]&lt;&gt;"","Complete",IF(tblOrders[[#This Row],[Due]]="","",IF(tblOrders[[#This Row],[Due]]&lt;AsOf,"Overdue",IF(tblOrders[[#This Row],[Due]]-AsOf&lt;=DueSoonDays,"Due soon","In progress")))))</f>
        <v>In progress</v>
      </c>
      <c r="W73" s="41">
        <f>IF(tblOrders[[#This Row],[Released]]="","",IF(OR(tblOrders[[#This Row],[Shipped]]="",tblOrders[[#This Row],[Due]]=""),"",IF(tblOrders[[#This Row],[Shipped]]&lt;=tblOrders[[#This Row],[Due]],"Yes","No")))</f>
        <v/>
      </c>
      <c r="X73" s="42">
        <f>IF(tblOrders[[#This Row],[Released]]="","",IF(AND(tblOrders[[#This Row],[Shipped]]&lt;&gt;"",tblOrders[[#This Row],[Shipped]]&gt;=FFrom,tblOrders[[#This Row],[Shipped]]&lt;=FTo,OR(DashCustomer="",tblOrders[[#This Row],[Customer]]=DashCustomer)),tblOrders[[#This Row],[Shipped]],""))</f>
        <v/>
      </c>
      <c r="Y73" s="42">
        <f>IF(tblOrders[[#This Row],[Released]]="","",IF(AND(tblOrders[[#This Row],[Shipped]]="",OR(DashCustomer="",tblOrders[[#This Row],[Customer]]=DashCustomer)),tblOrders[[#This Row],[Released]],""))</f>
        <v>46293</v>
      </c>
      <c r="Z73"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4" spans="2:26">
      <c r="B74" s="28" t="s">
        <v>277</v>
      </c>
      <c r="C74" s="28" t="s">
        <v>92</v>
      </c>
      <c r="D74" s="28" t="s">
        <v>278</v>
      </c>
      <c r="E74" s="31">
        <v>12</v>
      </c>
      <c r="F74" s="30">
        <v>46295</v>
      </c>
      <c r="G74" s="30">
        <v>46307</v>
      </c>
      <c r="H74" s="30"/>
      <c r="I74" s="28" t="s">
        <v>115</v>
      </c>
      <c r="J74" s="29">
        <v>1630</v>
      </c>
      <c r="K74" s="37">
        <v>10</v>
      </c>
      <c r="L74" s="29">
        <v>8</v>
      </c>
      <c r="M74" s="29">
        <v>160</v>
      </c>
      <c r="N74" s="29">
        <v>160</v>
      </c>
      <c r="O74" s="38">
        <f>IF(tblOrders[[#This Row],[Released]]="","",tblOrders[[#This Row],[Est hours]]*EstRate+tblOrders[[#This Row],[Est material]])</f>
        <v>1110</v>
      </c>
      <c r="P74" s="38">
        <f>IF(tblOrders[[#This Row],[Released]]="","",tblOrders[[#This Row],[Actual hours]]*CostRate+tblOrders[[#This Row],[Actual material]])</f>
        <v>944</v>
      </c>
      <c r="Q74" s="38">
        <f>IF(tblOrders[[#This Row],[Released]]="","",IF(tblOrders[[#This Row],[Shipped]]="","",tblOrders[[#This Row],[Actual cost]]-tblOrders[[#This Row],[Est cost]]))</f>
        <v/>
      </c>
      <c r="R74" s="39">
        <f>IF(tblOrders[[#This Row],[Released]]="","",IF(OR(tblOrders[[#This Row],[Shipped]]="",tblOrders[[#This Row],[Order value]]&lt;=0),"",(tblOrders[[#This Row],[Order value]]-tblOrders[[#This Row],[Actual cost]])/tblOrders[[#This Row],[Order value]]))</f>
        <v/>
      </c>
      <c r="S74" s="40">
        <f>IF(tblOrders[[#This Row],[Released]]="","",IF(tblOrders[[#This Row],[Est hours]]&gt;0,tblOrders[[#This Row],[Actual hours]]/tblOrders[[#This Row],[Est hours]],""))</f>
        <v>0.8</v>
      </c>
      <c r="T74" s="38">
        <f>IF(tblOrders[[#This Row],[Released]]="","",MAX(0,IF(tblOrders[[#This Row],[Shipped]]="",AsOf,tblOrders[[#This Row],[Shipped]])-tblOrders[[#This Row],[Due]]))</f>
        <v>0</v>
      </c>
      <c r="U74" s="38">
        <f>IF(tblOrders[[#This Row],[Released]]="","",IF(tblOrders[[#This Row],[Shipped]]="","",tblOrders[[#This Row],[Shipped]]-tblOrders[[#This Row],[Released]]))</f>
        <v/>
      </c>
      <c r="V74" s="41" t="str">
        <f>IF(tblOrders[[#This Row],[Released]]="","",IF(tblOrders[[#This Row],[Shipped]]&lt;&gt;"","Complete",IF(tblOrders[[#This Row],[Due]]="","",IF(tblOrders[[#This Row],[Due]]&lt;AsOf,"Overdue",IF(tblOrders[[#This Row],[Due]]-AsOf&lt;=DueSoonDays,"Due soon","In progress")))))</f>
        <v>Due soon</v>
      </c>
      <c r="W74" s="41">
        <f>IF(tblOrders[[#This Row],[Released]]="","",IF(OR(tblOrders[[#This Row],[Shipped]]="",tblOrders[[#This Row],[Due]]=""),"",IF(tblOrders[[#This Row],[Shipped]]&lt;=tblOrders[[#This Row],[Due]],"Yes","No")))</f>
        <v/>
      </c>
      <c r="X74" s="42">
        <f>IF(tblOrders[[#This Row],[Released]]="","",IF(AND(tblOrders[[#This Row],[Shipped]]&lt;&gt;"",tblOrders[[#This Row],[Shipped]]&gt;=FFrom,tblOrders[[#This Row],[Shipped]]&lt;=FTo,OR(DashCustomer="",tblOrders[[#This Row],[Customer]]=DashCustomer)),tblOrders[[#This Row],[Shipped]],""))</f>
        <v/>
      </c>
      <c r="Y74" s="42">
        <f>IF(tblOrders[[#This Row],[Released]]="","",IF(AND(tblOrders[[#This Row],[Shipped]]="",OR(DashCustomer="",tblOrders[[#This Row],[Customer]]=DashCustomer)),tblOrders[[#This Row],[Released]],""))</f>
        <v>46295</v>
      </c>
      <c r="Z74"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5" spans="2:26">
      <c r="B75" s="28" t="s">
        <v>279</v>
      </c>
      <c r="C75" s="28" t="s">
        <v>89</v>
      </c>
      <c r="D75" s="28" t="s">
        <v>280</v>
      </c>
      <c r="E75" s="31">
        <v>4</v>
      </c>
      <c r="F75" s="30">
        <v>46296</v>
      </c>
      <c r="G75" s="30">
        <v>46317</v>
      </c>
      <c r="H75" s="30"/>
      <c r="I75" s="28" t="s">
        <v>105</v>
      </c>
      <c r="J75" s="29">
        <v>3310</v>
      </c>
      <c r="K75" s="37">
        <v>22.5</v>
      </c>
      <c r="L75" s="29">
        <v>5.75</v>
      </c>
      <c r="M75" s="29">
        <v>130</v>
      </c>
      <c r="N75" s="29">
        <v>130</v>
      </c>
      <c r="O75" s="38">
        <f>IF(tblOrders[[#This Row],[Released]]="","",tblOrders[[#This Row],[Est hours]]*EstRate+tblOrders[[#This Row],[Est material]])</f>
        <v>2267.5</v>
      </c>
      <c r="P75" s="38">
        <f>IF(tblOrders[[#This Row],[Released]]="","",tblOrders[[#This Row],[Actual hours]]*CostRate+tblOrders[[#This Row],[Actual material]])</f>
        <v>693.5</v>
      </c>
      <c r="Q75" s="38">
        <f>IF(tblOrders[[#This Row],[Released]]="","",IF(tblOrders[[#This Row],[Shipped]]="","",tblOrders[[#This Row],[Actual cost]]-tblOrders[[#This Row],[Est cost]]))</f>
        <v/>
      </c>
      <c r="R75" s="39">
        <f>IF(tblOrders[[#This Row],[Released]]="","",IF(OR(tblOrders[[#This Row],[Shipped]]="",tblOrders[[#This Row],[Order value]]&lt;=0),"",(tblOrders[[#This Row],[Order value]]-tblOrders[[#This Row],[Actual cost]])/tblOrders[[#This Row],[Order value]]))</f>
        <v/>
      </c>
      <c r="S75" s="40">
        <f>IF(tblOrders[[#This Row],[Released]]="","",IF(tblOrders[[#This Row],[Est hours]]&gt;0,tblOrders[[#This Row],[Actual hours]]/tblOrders[[#This Row],[Est hours]],""))</f>
        <v>0.255555555555556</v>
      </c>
      <c r="T75" s="38">
        <f>IF(tblOrders[[#This Row],[Released]]="","",MAX(0,IF(tblOrders[[#This Row],[Shipped]]="",AsOf,tblOrders[[#This Row],[Shipped]])-tblOrders[[#This Row],[Due]]))</f>
        <v>0</v>
      </c>
      <c r="U75" s="38">
        <f>IF(tblOrders[[#This Row],[Released]]="","",IF(tblOrders[[#This Row],[Shipped]]="","",tblOrders[[#This Row],[Shipped]]-tblOrders[[#This Row],[Released]]))</f>
        <v/>
      </c>
      <c r="V75" s="41" t="str">
        <f>IF(tblOrders[[#This Row],[Released]]="","",IF(tblOrders[[#This Row],[Shipped]]&lt;&gt;"","Complete",IF(tblOrders[[#This Row],[Due]]="","",IF(tblOrders[[#This Row],[Due]]&lt;AsOf,"Overdue",IF(tblOrders[[#This Row],[Due]]-AsOf&lt;=DueSoonDays,"Due soon","In progress")))))</f>
        <v>In progress</v>
      </c>
      <c r="W75" s="41">
        <f>IF(tblOrders[[#This Row],[Released]]="","",IF(OR(tblOrders[[#This Row],[Shipped]]="",tblOrders[[#This Row],[Due]]=""),"",IF(tblOrders[[#This Row],[Shipped]]&lt;=tblOrders[[#This Row],[Due]],"Yes","No")))</f>
        <v/>
      </c>
      <c r="X75" s="42">
        <f>IF(tblOrders[[#This Row],[Released]]="","",IF(AND(tblOrders[[#This Row],[Shipped]]&lt;&gt;"",tblOrders[[#This Row],[Shipped]]&gt;=FFrom,tblOrders[[#This Row],[Shipped]]&lt;=FTo,OR(DashCustomer="",tblOrders[[#This Row],[Customer]]=DashCustomer)),tblOrders[[#This Row],[Shipped]],""))</f>
        <v/>
      </c>
      <c r="Y75" s="42">
        <f>IF(tblOrders[[#This Row],[Released]]="","",IF(AND(tblOrders[[#This Row],[Shipped]]="",OR(DashCustomer="",tblOrders[[#This Row],[Customer]]=DashCustomer)),tblOrders[[#This Row],[Released]],""))</f>
        <v>46296</v>
      </c>
      <c r="Z75"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6" spans="2:26">
      <c r="B76" s="28" t="s">
        <v>281</v>
      </c>
      <c r="C76" s="28" t="s">
        <v>92</v>
      </c>
      <c r="D76" s="28" t="s">
        <v>282</v>
      </c>
      <c r="E76" s="31">
        <v>50</v>
      </c>
      <c r="F76" s="30">
        <v>46297</v>
      </c>
      <c r="G76" s="30">
        <v>46307</v>
      </c>
      <c r="H76" s="30"/>
      <c r="I76" s="28" t="s">
        <v>111</v>
      </c>
      <c r="J76" s="29">
        <v>2120</v>
      </c>
      <c r="K76" s="37">
        <v>13</v>
      </c>
      <c r="L76" s="29">
        <v>8.5</v>
      </c>
      <c r="M76" s="29">
        <v>270</v>
      </c>
      <c r="N76" s="29">
        <v>270</v>
      </c>
      <c r="O76" s="38">
        <f>IF(tblOrders[[#This Row],[Released]]="","",tblOrders[[#This Row],[Est hours]]*EstRate+tblOrders[[#This Row],[Est material]])</f>
        <v>1505</v>
      </c>
      <c r="P76" s="38">
        <f>IF(tblOrders[[#This Row],[Released]]="","",tblOrders[[#This Row],[Actual hours]]*CostRate+tblOrders[[#This Row],[Actual material]])</f>
        <v>1103</v>
      </c>
      <c r="Q76" s="38">
        <f>IF(tblOrders[[#This Row],[Released]]="","",IF(tblOrders[[#This Row],[Shipped]]="","",tblOrders[[#This Row],[Actual cost]]-tblOrders[[#This Row],[Est cost]]))</f>
        <v/>
      </c>
      <c r="R76" s="39">
        <f>IF(tblOrders[[#This Row],[Released]]="","",IF(OR(tblOrders[[#This Row],[Shipped]]="",tblOrders[[#This Row],[Order value]]&lt;=0),"",(tblOrders[[#This Row],[Order value]]-tblOrders[[#This Row],[Actual cost]])/tblOrders[[#This Row],[Order value]]))</f>
        <v/>
      </c>
      <c r="S76" s="40">
        <f>IF(tblOrders[[#This Row],[Released]]="","",IF(tblOrders[[#This Row],[Est hours]]&gt;0,tblOrders[[#This Row],[Actual hours]]/tblOrders[[#This Row],[Est hours]],""))</f>
        <v>0.653846153846154</v>
      </c>
      <c r="T76" s="38">
        <f>IF(tblOrders[[#This Row],[Released]]="","",MAX(0,IF(tblOrders[[#This Row],[Shipped]]="",AsOf,tblOrders[[#This Row],[Shipped]])-tblOrders[[#This Row],[Due]]))</f>
        <v>0</v>
      </c>
      <c r="U76" s="38">
        <f>IF(tblOrders[[#This Row],[Released]]="","",IF(tblOrders[[#This Row],[Shipped]]="","",tblOrders[[#This Row],[Shipped]]-tblOrders[[#This Row],[Released]]))</f>
        <v/>
      </c>
      <c r="V76" s="41" t="str">
        <f>IF(tblOrders[[#This Row],[Released]]="","",IF(tblOrders[[#This Row],[Shipped]]&lt;&gt;"","Complete",IF(tblOrders[[#This Row],[Due]]="","",IF(tblOrders[[#This Row],[Due]]&lt;AsOf,"Overdue",IF(tblOrders[[#This Row],[Due]]-AsOf&lt;=DueSoonDays,"Due soon","In progress")))))</f>
        <v>Due soon</v>
      </c>
      <c r="W76" s="41">
        <f>IF(tblOrders[[#This Row],[Released]]="","",IF(OR(tblOrders[[#This Row],[Shipped]]="",tblOrders[[#This Row],[Due]]=""),"",IF(tblOrders[[#This Row],[Shipped]]&lt;=tblOrders[[#This Row],[Due]],"Yes","No")))</f>
        <v/>
      </c>
      <c r="X76" s="42">
        <f>IF(tblOrders[[#This Row],[Released]]="","",IF(AND(tblOrders[[#This Row],[Shipped]]&lt;&gt;"",tblOrders[[#This Row],[Shipped]]&gt;=FFrom,tblOrders[[#This Row],[Shipped]]&lt;=FTo,OR(DashCustomer="",tblOrders[[#This Row],[Customer]]=DashCustomer)),tblOrders[[#This Row],[Shipped]],""))</f>
        <v/>
      </c>
      <c r="Y76" s="42">
        <f>IF(tblOrders[[#This Row],[Released]]="","",IF(AND(tblOrders[[#This Row],[Shipped]]="",OR(DashCustomer="",tblOrders[[#This Row],[Customer]]=DashCustomer)),tblOrders[[#This Row],[Released]],""))</f>
        <v>46297</v>
      </c>
      <c r="Z76"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7" spans="2:26">
      <c r="B77" s="28" t="s">
        <v>283</v>
      </c>
      <c r="C77" s="28" t="s">
        <v>92</v>
      </c>
      <c r="D77" s="28" t="s">
        <v>284</v>
      </c>
      <c r="E77" s="31">
        <v>5</v>
      </c>
      <c r="F77" s="30">
        <v>46300</v>
      </c>
      <c r="G77" s="30">
        <v>46307</v>
      </c>
      <c r="H77" s="30"/>
      <c r="I77" s="28" t="s">
        <v>111</v>
      </c>
      <c r="J77" s="29">
        <v>560</v>
      </c>
      <c r="K77" s="37">
        <v>4</v>
      </c>
      <c r="L77" s="29">
        <v>2.5</v>
      </c>
      <c r="M77" s="29">
        <v>20</v>
      </c>
      <c r="N77" s="29">
        <v>20</v>
      </c>
      <c r="O77" s="38">
        <f>IF(tblOrders[[#This Row],[Released]]="","",tblOrders[[#This Row],[Est hours]]*EstRate+tblOrders[[#This Row],[Est material]])</f>
        <v>400</v>
      </c>
      <c r="P77" s="38">
        <f>IF(tblOrders[[#This Row],[Released]]="","",tblOrders[[#This Row],[Actual hours]]*CostRate+tblOrders[[#This Row],[Actual material]])</f>
        <v>265</v>
      </c>
      <c r="Q77" s="38">
        <f>IF(tblOrders[[#This Row],[Released]]="","",IF(tblOrders[[#This Row],[Shipped]]="","",tblOrders[[#This Row],[Actual cost]]-tblOrders[[#This Row],[Est cost]]))</f>
        <v/>
      </c>
      <c r="R77" s="39">
        <f>IF(tblOrders[[#This Row],[Released]]="","",IF(OR(tblOrders[[#This Row],[Shipped]]="",tblOrders[[#This Row],[Order value]]&lt;=0),"",(tblOrders[[#This Row],[Order value]]-tblOrders[[#This Row],[Actual cost]])/tblOrders[[#This Row],[Order value]]))</f>
        <v/>
      </c>
      <c r="S77" s="40">
        <f>IF(tblOrders[[#This Row],[Released]]="","",IF(tblOrders[[#This Row],[Est hours]]&gt;0,tblOrders[[#This Row],[Actual hours]]/tblOrders[[#This Row],[Est hours]],""))</f>
        <v>0.625</v>
      </c>
      <c r="T77" s="38">
        <f>IF(tblOrders[[#This Row],[Released]]="","",MAX(0,IF(tblOrders[[#This Row],[Shipped]]="",AsOf,tblOrders[[#This Row],[Shipped]])-tblOrders[[#This Row],[Due]]))</f>
        <v>0</v>
      </c>
      <c r="U77" s="38">
        <f>IF(tblOrders[[#This Row],[Released]]="","",IF(tblOrders[[#This Row],[Shipped]]="","",tblOrders[[#This Row],[Shipped]]-tblOrders[[#This Row],[Released]]))</f>
        <v/>
      </c>
      <c r="V77" s="41" t="str">
        <f>IF(tblOrders[[#This Row],[Released]]="","",IF(tblOrders[[#This Row],[Shipped]]&lt;&gt;"","Complete",IF(tblOrders[[#This Row],[Due]]="","",IF(tblOrders[[#This Row],[Due]]&lt;AsOf,"Overdue",IF(tblOrders[[#This Row],[Due]]-AsOf&lt;=DueSoonDays,"Due soon","In progress")))))</f>
        <v>Due soon</v>
      </c>
      <c r="W77" s="41">
        <f>IF(tblOrders[[#This Row],[Released]]="","",IF(OR(tblOrders[[#This Row],[Shipped]]="",tblOrders[[#This Row],[Due]]=""),"",IF(tblOrders[[#This Row],[Shipped]]&lt;=tblOrders[[#This Row],[Due]],"Yes","No")))</f>
        <v/>
      </c>
      <c r="X77" s="42">
        <f>IF(tblOrders[[#This Row],[Released]]="","",IF(AND(tblOrders[[#This Row],[Shipped]]&lt;&gt;"",tblOrders[[#This Row],[Shipped]]&gt;=FFrom,tblOrders[[#This Row],[Shipped]]&lt;=FTo,OR(DashCustomer="",tblOrders[[#This Row],[Customer]]=DashCustomer)),tblOrders[[#This Row],[Shipped]],""))</f>
        <v/>
      </c>
      <c r="Y77" s="42">
        <f>IF(tblOrders[[#This Row],[Released]]="","",IF(AND(tblOrders[[#This Row],[Shipped]]="",OR(DashCustomer="",tblOrders[[#This Row],[Customer]]=DashCustomer)),tblOrders[[#This Row],[Released]],""))</f>
        <v>46300</v>
      </c>
      <c r="Z77"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row r="78" spans="2:26">
      <c r="B78" s="28" t="s">
        <v>285</v>
      </c>
      <c r="C78" s="28" t="s">
        <v>92</v>
      </c>
      <c r="D78" s="28" t="s">
        <v>286</v>
      </c>
      <c r="E78" s="31">
        <v>10</v>
      </c>
      <c r="F78" s="30">
        <v>46300</v>
      </c>
      <c r="G78" s="30">
        <v>46311</v>
      </c>
      <c r="H78" s="30"/>
      <c r="I78" s="28" t="s">
        <v>111</v>
      </c>
      <c r="J78" s="29">
        <v>880</v>
      </c>
      <c r="K78" s="37">
        <v>6</v>
      </c>
      <c r="L78" s="29">
        <v>3.25</v>
      </c>
      <c r="M78" s="29">
        <v>40</v>
      </c>
      <c r="N78" s="29">
        <v>40</v>
      </c>
      <c r="O78" s="38">
        <f>IF(tblOrders[[#This Row],[Released]]="","",tblOrders[[#This Row],[Est hours]]*EstRate+tblOrders[[#This Row],[Est material]])</f>
        <v>610</v>
      </c>
      <c r="P78" s="38">
        <f>IF(tblOrders[[#This Row],[Released]]="","",tblOrders[[#This Row],[Actual hours]]*CostRate+tblOrders[[#This Row],[Actual material]])</f>
        <v>358.5</v>
      </c>
      <c r="Q78" s="38">
        <f>IF(tblOrders[[#This Row],[Released]]="","",IF(tblOrders[[#This Row],[Shipped]]="","",tblOrders[[#This Row],[Actual cost]]-tblOrders[[#This Row],[Est cost]]))</f>
        <v/>
      </c>
      <c r="R78" s="39">
        <f>IF(tblOrders[[#This Row],[Released]]="","",IF(OR(tblOrders[[#This Row],[Shipped]]="",tblOrders[[#This Row],[Order value]]&lt;=0),"",(tblOrders[[#This Row],[Order value]]-tblOrders[[#This Row],[Actual cost]])/tblOrders[[#This Row],[Order value]]))</f>
        <v/>
      </c>
      <c r="S78" s="40">
        <f>IF(tblOrders[[#This Row],[Released]]="","",IF(tblOrders[[#This Row],[Est hours]]&gt;0,tblOrders[[#This Row],[Actual hours]]/tblOrders[[#This Row],[Est hours]],""))</f>
        <v>0.541666666666667</v>
      </c>
      <c r="T78" s="38">
        <f>IF(tblOrders[[#This Row],[Released]]="","",MAX(0,IF(tblOrders[[#This Row],[Shipped]]="",AsOf,tblOrders[[#This Row],[Shipped]])-tblOrders[[#This Row],[Due]]))</f>
        <v>0</v>
      </c>
      <c r="U78" s="38">
        <f>IF(tblOrders[[#This Row],[Released]]="","",IF(tblOrders[[#This Row],[Shipped]]="","",tblOrders[[#This Row],[Shipped]]-tblOrders[[#This Row],[Released]]))</f>
        <v/>
      </c>
      <c r="V78" s="41" t="str">
        <f>IF(tblOrders[[#This Row],[Released]]="","",IF(tblOrders[[#This Row],[Shipped]]&lt;&gt;"","Complete",IF(tblOrders[[#This Row],[Due]]="","",IF(tblOrders[[#This Row],[Due]]&lt;AsOf,"Overdue",IF(tblOrders[[#This Row],[Due]]-AsOf&lt;=DueSoonDays,"Due soon","In progress")))))</f>
        <v>In progress</v>
      </c>
      <c r="W78" s="41">
        <f>IF(tblOrders[[#This Row],[Released]]="","",IF(OR(tblOrders[[#This Row],[Shipped]]="",tblOrders[[#This Row],[Due]]=""),"",IF(tblOrders[[#This Row],[Shipped]]&lt;=tblOrders[[#This Row],[Due]],"Yes","No")))</f>
        <v/>
      </c>
      <c r="X78" s="42">
        <f>IF(tblOrders[[#This Row],[Released]]="","",IF(AND(tblOrders[[#This Row],[Shipped]]&lt;&gt;"",tblOrders[[#This Row],[Shipped]]&gt;=FFrom,tblOrders[[#This Row],[Shipped]]&lt;=FTo,OR(DashCustomer="",tblOrders[[#This Row],[Customer]]=DashCustomer)),tblOrders[[#This Row],[Shipped]],""))</f>
        <v/>
      </c>
      <c r="Y78" s="42">
        <f>IF(tblOrders[[#This Row],[Released]]="","",IF(AND(tblOrders[[#This Row],[Shipped]]="",OR(DashCustomer="",tblOrders[[#This Row],[Customer]]=DashCustomer)),tblOrders[[#This Row],[Released]],""))</f>
        <v>46300</v>
      </c>
      <c r="Z78" s="43" t="str">
        <f>IF(tblOrders[[#This Row],[Released]]="","",IF(tblOrders[[#This Row],[WO No.]]="","Missing wo no.",IF(tblOrders[[#This Row],[Customer]]="","Missing customer",IF(tblOrders[[#This Row],[Due]]="","Missing due",IF(COUNTIF(tblCustomers[Customer],tblOrders[[#This Row],[Customer]])=0,"Customer not on Setup list",IF(tblOrders[[#This Row],[Due]]&lt;tblOrders[[#This Row],[Released]],"Due before released",IF(AND(tblOrders[[#This Row],[Shipped]]&lt;&gt;"",tblOrders[[#This Row],[Shipped]]&lt;tblOrders[[#This Row],[Released]]),"Shipped before released",IF(OR(tblOrders[[#This Row],[Released]]&gt;AsOf,AND(tblOrders[[#This Row],[Shipped]]&lt;&gt;"",tblOrders[[#This Row],[Shipped]]&gt;AsOf)),"Date after the status date",IF(AND(tblOrders[[#This Row],[Shipped]]="",tblOrders[[#This Row],[Stage]]=""),"Open job with no stage",IF(AND(tblOrders[[#This Row],[Shipped]]&lt;&gt;"",tblOrders[[#This Row],[Actual hours]]=0),"Shipped with no actual hours",IF(COUNTIF(tblOrders[WO No.],tblOrders[[#This Row],[WO No.]])&gt;1,"Duplicate WO No.","OK")))))))))))</f>
        <v>OK</v>
      </c>
    </row>
  </sheetData>
  <mergeCells count="3">
    <mergeCell ref="A1:Z1"/>
    <mergeCell ref="B2:Y2"/>
    <mergeCell ref="B4:Z4"/>
  </mergeCells>
  <conditionalFormatting sqref="R7:R578">
    <cfRule type="expression" dxfId="3" priority="1" stopIfTrue="1">
      <formula>AND(ISNUMBER(R7),R7&gt;=(TargetMargin))</formula>
    </cfRule>
    <cfRule type="expression" dxfId="4" priority="2" stopIfTrue="1">
      <formula>AND(ISNUMBER(R7),R7&gt;=(TargetMargin)*(1-0.05))</formula>
    </cfRule>
    <cfRule type="expression" dxfId="5" priority="3">
      <formula>ISNUMBER(R7)</formula>
    </cfRule>
  </conditionalFormatting>
  <conditionalFormatting sqref="V7:V57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W7:W578">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conditionalFormatting sqref="Z7:Z578">
    <cfRule type="expression" dxfId="3" priority="44">
      <formula>$Z7="OK"</formula>
    </cfRule>
    <cfRule type="expression" dxfId="1" priority="45">
      <formula>AND($Z7&lt;&gt;"",$Z7&lt;&gt;"OK")</formula>
    </cfRule>
  </conditionalFormatting>
  <dataValidations count="13">
    <dataValidation type="textLength" allowBlank="1" showInputMessage="1" showErrorMessage="1" errorTitle="Check this entry" error="Text up to 20 characters." promptTitle="WO No." prompt="Your work order number. Each number once. Text up to 20 characters." sqref="B7:B578">
      <formula1>0</formula1>
      <formula2>20</formula2>
    </dataValidation>
    <dataValidation type="list" allowBlank="1" showInputMessage="1" showErrorMessage="1" errorTitle="Check this entry" error="Pick from the list (edit the list on Setup: Customers)." promptTitle="Customer" prompt="Pick from the list (edit the list on Setup: Customers)." sqref="C7:C578">
      <formula1>Customers</formula1>
    </dataValidation>
    <dataValidation type="textLength" allowBlank="1" showInputMessage="1" showErrorMessage="1" errorTitle="Check this entry" error="Text up to 40 characters." promptTitle="Part no." prompt="Text up to 40 characters." sqref="D7:D578">
      <formula1>0</formula1>
      <formula2>40</formula2>
    </dataValidation>
    <dataValidation type="whole" allowBlank="1" showInputMessage="1" showErrorMessage="1" errorTitle="Check this entry" error="Enter a whole number from 1 to 10,000,000." promptTitle="Qty" prompt="Enter a whole number from 1 to 10,000,000." sqref="E7:E578">
      <formula1>1</formula1>
      <formula2>10000000</formula2>
    </dataValidation>
    <dataValidation type="date" allowBlank="1" showInputMessage="1" showErrorMessage="1" errorTitle="Check this entry" error="Enter a date between 01 Jan 2000 and 31 Dec 2100." promptTitle="Released" prompt="Enter a date between 01 Jan 2000 and 31 Dec 2100." sqref="F7:F578">
      <formula1>36526</formula1>
      <formula2>73415</formula2>
    </dataValidation>
    <dataValidation type="date" allowBlank="1" showInputMessage="1" showErrorMessage="1" errorTitle="Check this entry" error="Enter a date between 01 Jan 2000 and 31 Dec 2100." promptTitle="Due" prompt="The date promised to the customer (ship date). Enter a date between 01 Jan 2000 and 31 Dec 2100." sqref="G7:G578">
      <formula1>36526</formula1>
      <formula2>73415</formula2>
    </dataValidation>
    <dataValidation type="date" allowBlank="1" showInputMessage="1" showErrorMessage="1" errorTitle="Check this entry" error="Enter a date between 01 Jan 2000 and 31 Dec 2100." promptTitle="Shipped" prompt="The date the job shipped complete. Leave blank while it is open. Enter a date between 01 Jan 2000 and 31 Dec 2100." sqref="H7:H578">
      <formula1>36526</formula1>
      <formula2>73415</formula2>
    </dataValidation>
    <dataValidation type="list" allowBlank="1" showInputMessage="1" showErrorMessage="1" errorTitle="Check this entry" error="Pick from the list (edit the list on Setup: Stages)." promptTitle="Stage" prompt="Where an open job is now. Leave blank once shipped. Pick from the list (edit the list on Setup: Stages)." sqref="I7:I578">
      <formula1>Stages</formula1>
    </dataValidation>
    <dataValidation type="decimal" allowBlank="1" showInputMessage="1" showErrorMessage="1" errorTitle="Check this entry" error="Enter a number of at least 0." promptTitle="Order value" prompt="The selling price of the whole work order. Enter a number of at least 0." sqref="J7:J578">
      <formula1>0</formula1>
      <formula2>1000000000.0</formula2>
    </dataValidation>
    <dataValidation type="decimal" allowBlank="1" showInputMessage="1" showErrorMessage="1" errorTitle="Check this entry" error="Enter a number from 0 to 100,000." promptTitle="Est hours" prompt="Estimated hours from the quote or router: setup plus run, all operations. Enter a number from 0 to 100,000." sqref="K7:K578">
      <formula1>0</formula1>
      <formula2>100000</formula2>
    </dataValidation>
    <dataValidation type="decimal" allowBlank="1" showInputMessage="1" showErrorMessage="1" errorTitle="Check this entry" error="Enter a number from 0 to 100,000." promptTitle="Actual hours" prompt="Hours booked to the job so far: setup plus run, all operations. Enter a number from 0 to 100,000." sqref="L7:L578">
      <formula1>0</formula1>
      <formula2>100000</formula2>
    </dataValidation>
    <dataValidation type="decimal" allowBlank="1" showInputMessage="1" showErrorMessage="1" errorTitle="Check this entry" error="Enter a number of at least 0." promptTitle="Est material" prompt="Estimated material and bought-in cost, including outside processing. Enter a number of at least 0." sqref="M7:M578">
      <formula1>0</formula1>
      <formula2>1000000000.0</formula2>
    </dataValidation>
    <dataValidation type="decimal" allowBlank="1" showInputMessage="1" showErrorMessage="1" errorTitle="Check this entry" error="Enter a number of at least 0." promptTitle="Actual material" prompt="Actual material and bought-in cost booked so far. Enter a number of at least 0." sqref="N7:N578">
      <formula1>0</formula1>
      <formula2>1000000000.0</formula2>
    </dataValidation>
  </dataValidations>
  <hyperlinks>
    <hyperlink ref="Z2" r:id="rId1" tooltip="Free manufacturing calculators and templates"/>
  </hyperlinks>
  <pageMargins left="0.4" right="0.4" top="0.7" bottom="0.65" header="0.3" footer="0.3"/>
  <pageSetup fitToHeight="0" orientation="landscape"/>
  <headerFooter>
    <oddHeader>&amp;L&amp;8MFG Calcs - Job Shop Work Order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93"/>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27" t="s">
        <v>62</v>
      </c>
      <c r="C4" s="28"/>
      <c r="D4" s="28"/>
      <c r="F4" s="27" t="s">
        <v>287</v>
      </c>
      <c r="G4" s="44"/>
      <c r="H4" s="44"/>
      <c r="J4" s="27" t="s">
        <v>288</v>
      </c>
      <c r="K4" s="44"/>
      <c r="L4" s="44"/>
    </row>
    <row r="5" spans="1:12">
      <c r="B5" s="45" t="str">
        <f>"Showing "&amp;COUNTIFS(tblOrders[View ship],"&gt;0")&amp;" shipped and "&amp;COUNTIFS(tblOrders[View open],"&gt;0")&amp;" open work orders; status as of "&amp;TEXT(AsOf,"d mmm yyyy")&amp;". The ship-date filter applies to shipped jobs; the customer filter to both."</f>
        <v>Showing 55 shipped and 17 open work orders; status as of 9 Oct 2026. The ship-date filter applies to shipped jobs; the customer filter to both.</v>
      </c>
      <c r="C5" s="45"/>
      <c r="D5" s="45"/>
      <c r="E5" s="45"/>
      <c r="F5" s="45"/>
      <c r="G5" s="45"/>
      <c r="H5" s="45"/>
      <c r="I5" s="45"/>
      <c r="J5" s="45"/>
      <c r="K5" s="45"/>
      <c r="L5" s="45"/>
    </row>
    <row r="7" spans="1:12" ht="18" customHeight="1">
      <c r="B7" s="46" t="s">
        <v>289</v>
      </c>
      <c r="C7" s="46"/>
      <c r="D7" s="46" t="s">
        <v>290</v>
      </c>
      <c r="E7" s="46"/>
      <c r="F7" s="46"/>
      <c r="G7" s="46" t="s">
        <v>291</v>
      </c>
      <c r="H7" s="46"/>
      <c r="I7" s="46"/>
      <c r="J7" s="46" t="str">
        <f>"OPEN ORDER VALUE ("&amp;Currency&amp;")"</f>
        <v>OPEN ORDER VALUE (USD)</v>
      </c>
      <c r="K7" s="46"/>
      <c r="L7" s="46"/>
    </row>
    <row r="8" spans="1:12" ht="21" customHeight="1">
      <c r="B8" s="47">
        <f>IF((COUNTIFS(tblOrders[View ship],"&gt;0"))=0,"",(COUNTIFS(tblOrders[View ship],"&gt;0",tblOrders[On time],"Yes"))/(COUNTIFS(tblOrders[View ship],"&gt;0")))</f>
        <v>0.818181818181818</v>
      </c>
      <c r="C8" s="47"/>
      <c r="D8" s="48">
        <f>COUNTIFS(tblOrders[View open],"&gt;0")</f>
        <v>17</v>
      </c>
      <c r="E8" s="48"/>
      <c r="F8" s="48"/>
      <c r="G8" s="48">
        <f>COUNTIFS(tblOrders[View open],"&gt;0",tblOrders[Status],"Overdue")</f>
        <v>3</v>
      </c>
      <c r="H8" s="48"/>
      <c r="I8" s="48"/>
      <c r="J8" s="48">
        <f>SUMIFS(tblOrders[Order value],tblOrders[View open],"&gt;0")</f>
        <v>63030</v>
      </c>
      <c r="K8" s="48"/>
      <c r="L8" s="48"/>
    </row>
    <row r="9" spans="1:12" ht="21" customHeight="1">
      <c r="B9" s="47"/>
      <c r="C9" s="47"/>
      <c r="D9" s="48"/>
      <c r="E9" s="48"/>
      <c r="F9" s="48"/>
      <c r="G9" s="48"/>
      <c r="H9" s="48"/>
      <c r="I9" s="48"/>
      <c r="J9" s="48"/>
      <c r="K9" s="48"/>
      <c r="L9" s="48"/>
    </row>
    <row r="10" spans="1:12">
      <c r="B10" s="49">
        <f>TargetOTD</f>
        <v>0.95</v>
      </c>
      <c r="C10" s="49"/>
      <c r="D10" s="50" t="s">
        <v>292</v>
      </c>
      <c r="E10" s="50"/>
      <c r="F10" s="50"/>
      <c r="G10" s="50" t="s">
        <v>293</v>
      </c>
      <c r="H10" s="50"/>
      <c r="I10" s="50"/>
      <c r="J10" s="50" t="s">
        <v>294</v>
      </c>
      <c r="K10" s="50"/>
      <c r="L10" s="50"/>
    </row>
    <row r="11" spans="1:12" ht="18" customHeight="1">
      <c r="B11" s="51" t="str">
        <f>IF(NOT(ISNUMBER(KpiOTD)),"No data",IF(KpiOTD&gt;=(TargetOTD),"On target",IF(KpiOTD&gt;=(TargetOTD)*(1-0.05),"Near target","Below target")))</f>
        <v>Below target</v>
      </c>
      <c r="C11" s="51"/>
      <c r="D11" s="51"/>
      <c r="E11" s="51"/>
      <c r="F11" s="51"/>
      <c r="G11" s="51"/>
      <c r="H11" s="51"/>
      <c r="I11" s="51"/>
      <c r="J11" s="51"/>
      <c r="K11" s="51"/>
      <c r="L11" s="51"/>
    </row>
    <row r="30" spans="2:12" ht="18" customHeight="1">
      <c r="B30" s="46" t="s">
        <v>295</v>
      </c>
      <c r="C30" s="46"/>
      <c r="D30" s="46" t="str">
        <f>"COST VARIANCE, SHIPPED ("&amp;Currency&amp;")"</f>
        <v>COST VARIANCE, SHIPPED (USD)</v>
      </c>
      <c r="E30" s="46"/>
      <c r="F30" s="46"/>
      <c r="G30" s="46" t="s">
        <v>296</v>
      </c>
      <c r="H30" s="46"/>
      <c r="I30" s="46"/>
      <c r="J30" s="46" t="s">
        <v>297</v>
      </c>
      <c r="K30" s="46"/>
      <c r="L30" s="46"/>
    </row>
    <row r="31" spans="2:12" ht="21" customHeight="1">
      <c r="B31" s="52">
        <f>IF(SUMIFS(tblOrders[Est hours],tblOrders[View ship],"&gt;0")=0,"",SUMIFS(tblOrders[Actual hours],tblOrders[View ship],"&gt;0")/SUMIFS(tblOrders[Est hours],tblOrders[View ship],"&gt;0")-1)</f>
        <v>0.0788139888494679</v>
      </c>
      <c r="C31" s="52"/>
      <c r="D31" s="48">
        <f>SUMIFS(tblOrders[Actual cost],tblOrders[View ship],"&gt;0")-SUMIFS(tblOrders[Est cost],tblOrders[View ship],"&gt;0")</f>
        <v>10864</v>
      </c>
      <c r="E31" s="48"/>
      <c r="F31" s="48"/>
      <c r="G31" s="47">
        <f>IF((SUMIFS(tblOrders[Order value],tblOrders[View ship],"&gt;0"))=0,"",(SUMIFS(tblOrders[Order value],tblOrders[View ship],"&gt;0")-SUMIFS(tblOrders[Actual cost],tblOrders[View ship],"&gt;0"))/(SUMIFS(tblOrders[Order value],tblOrders[View ship],"&gt;0")))</f>
        <v>0.239900726706463</v>
      </c>
      <c r="H31" s="47"/>
      <c r="I31" s="47"/>
      <c r="J31" s="53">
        <f>IF((COUNTIFS(tblOrders[View ship],"&gt;0"))=0,"",(SUMIFS(tblOrders[Lead time],tblOrders[View ship],"&gt;0"))/(COUNTIFS(tblOrders[View ship],"&gt;0")))</f>
        <v>17.3454545454545</v>
      </c>
      <c r="K31" s="53"/>
      <c r="L31" s="53"/>
    </row>
    <row r="32" spans="2:12" ht="21" customHeight="1">
      <c r="B32" s="52"/>
      <c r="C32" s="52"/>
      <c r="D32" s="48"/>
      <c r="E32" s="48"/>
      <c r="F32" s="48"/>
      <c r="G32" s="47"/>
      <c r="H32" s="47"/>
      <c r="I32" s="47"/>
      <c r="J32" s="53"/>
      <c r="K32" s="53"/>
      <c r="L32" s="53"/>
    </row>
    <row r="33" spans="2:12">
      <c r="B33" s="54">
        <f>HoursTol</f>
        <v>0.1</v>
      </c>
      <c r="C33" s="54"/>
      <c r="D33" s="50" t="s">
        <v>298</v>
      </c>
      <c r="E33" s="50"/>
      <c r="F33" s="50"/>
      <c r="G33" s="49">
        <f>TargetMargin</f>
        <v>0.25</v>
      </c>
      <c r="H33" s="49"/>
      <c r="I33" s="49"/>
      <c r="J33" s="50" t="s">
        <v>299</v>
      </c>
      <c r="K33" s="50"/>
      <c r="L33" s="50"/>
    </row>
    <row r="34" spans="2:12" ht="18" customHeight="1">
      <c r="B34" s="51" t="str">
        <f>IF(NOT(ISNUMBER(KpiHours)),"No data",IF(KpiHours&lt;=(HoursTol),"On target",IF(KpiHours&lt;=(HoursTol)*(1+0.05),"Near target","Above target")))</f>
        <v>On target</v>
      </c>
      <c r="C34" s="51"/>
      <c r="D34" s="51"/>
      <c r="E34" s="51"/>
      <c r="F34" s="51"/>
      <c r="G34" s="51" t="str">
        <f>IF(NOT(ISNUMBER(KpiMargin)),"No data",IF(KpiMargin&gt;=(TargetMargin),"On target",IF(KpiMargin&gt;=(TargetMargin)*(1-0.05),"Near target","Below target")))</f>
        <v>Near target</v>
      </c>
      <c r="H34" s="51"/>
      <c r="I34" s="51"/>
      <c r="J34" s="51"/>
      <c r="K34" s="51"/>
      <c r="L34" s="51"/>
    </row>
    <row r="36" spans="2:12" ht="18" customHeight="1">
      <c r="B36" s="46" t="str">
        <f>"HOURS VARIANCE ("&amp;Currency&amp;")"</f>
        <v>HOURS VARIANCE (USD)</v>
      </c>
      <c r="C36" s="46"/>
      <c r="D36" s="46" t="str">
        <f>"RATE VARIANCE ("&amp;Currency&amp;")"</f>
        <v>RATE VARIANCE (USD)</v>
      </c>
      <c r="E36" s="46"/>
      <c r="F36" s="46"/>
      <c r="G36" s="46" t="str">
        <f>"MATERIAL VARIANCE ("&amp;Currency&amp;")"</f>
        <v>MATERIAL VARIANCE (USD)</v>
      </c>
      <c r="H36" s="46"/>
      <c r="I36" s="46"/>
      <c r="J36" s="46" t="s">
        <v>300</v>
      </c>
      <c r="K36" s="46"/>
      <c r="L36" s="46"/>
    </row>
    <row r="37" spans="2:12" ht="21" customHeight="1">
      <c r="B37" s="48">
        <f>(SUMIFS(tblOrders[Actual hours],tblOrders[View ship],"&gt;0")-SUMIFS(tblOrders[Est hours],tblOrders[View ship],"&gt;0"))*EstRate</f>
        <v>7386.25</v>
      </c>
      <c r="C37" s="48"/>
      <c r="D37" s="48">
        <f>(CostRate-EstRate)*SUMIFS(tblOrders[Actual hours],tblOrders[View ship],"&gt;0")</f>
        <v>3192.75</v>
      </c>
      <c r="E37" s="48"/>
      <c r="F37" s="48"/>
      <c r="G37" s="48">
        <f>SUMIFS(tblOrders[Actual material],tblOrders[View ship],"&gt;0")-SUMIFS(tblOrders[Est material],tblOrders[View ship],"&gt;0")</f>
        <v>285</v>
      </c>
      <c r="H37" s="48"/>
      <c r="I37" s="48"/>
      <c r="J37" s="48">
        <f>COUNTIFS(tblOrders[View ship],"&gt;0")</f>
        <v>55</v>
      </c>
      <c r="K37" s="48"/>
      <c r="L37" s="48"/>
    </row>
    <row r="38" spans="2:12" ht="21" customHeight="1">
      <c r="B38" s="48"/>
      <c r="C38" s="48"/>
      <c r="D38" s="48"/>
      <c r="E38" s="48"/>
      <c r="F38" s="48"/>
      <c r="G38" s="48"/>
      <c r="H38" s="48"/>
      <c r="I38" s="48"/>
      <c r="J38" s="48"/>
      <c r="K38" s="48"/>
      <c r="L38" s="48"/>
    </row>
    <row r="39" spans="2:12">
      <c r="B39" s="50" t="s">
        <v>301</v>
      </c>
      <c r="C39" s="50"/>
      <c r="D39" s="50" t="s">
        <v>302</v>
      </c>
      <c r="E39" s="50"/>
      <c r="F39" s="50"/>
      <c r="G39" s="50" t="s">
        <v>303</v>
      </c>
      <c r="H39" s="50"/>
      <c r="I39" s="50"/>
      <c r="J39" s="50" t="s">
        <v>304</v>
      </c>
      <c r="K39" s="50"/>
      <c r="L39" s="50"/>
    </row>
    <row r="40" spans="2:12" ht="18" customHeight="1">
      <c r="B40" s="51"/>
      <c r="C40" s="51"/>
      <c r="D40" s="51"/>
      <c r="E40" s="51"/>
      <c r="F40" s="51"/>
      <c r="G40" s="51"/>
      <c r="H40" s="51"/>
      <c r="I40" s="51"/>
      <c r="J40" s="51"/>
      <c r="K40" s="51"/>
      <c r="L40" s="51"/>
    </row>
    <row r="58" spans="2:11">
      <c r="B58" s="33" t="s">
        <v>305</v>
      </c>
      <c r="C58" s="33"/>
      <c r="D58" s="33"/>
      <c r="E58" s="33"/>
      <c r="F58" s="33"/>
      <c r="G58" s="33"/>
      <c r="H58" s="33"/>
      <c r="I58" s="33"/>
      <c r="J58" s="33"/>
      <c r="K58" s="33"/>
    </row>
    <row r="59" spans="2:11" ht="32" customHeight="1">
      <c r="B59" s="55" t="s">
        <v>306</v>
      </c>
      <c r="C59" s="34" t="s">
        <v>123</v>
      </c>
      <c r="D59" s="34" t="s">
        <v>137</v>
      </c>
      <c r="E59" s="34" t="s">
        <v>307</v>
      </c>
      <c r="F59" s="34" t="s">
        <v>308</v>
      </c>
      <c r="G59" s="34" t="s">
        <v>309</v>
      </c>
      <c r="H59" s="34"/>
      <c r="I59" s="34" t="s">
        <v>125</v>
      </c>
      <c r="J59" s="34" t="s">
        <v>126</v>
      </c>
      <c r="K59" s="34" t="s">
        <v>310</v>
      </c>
    </row>
    <row r="60" spans="2:11" ht="14" customHeight="1">
      <c r="B60" s="36"/>
      <c r="C60" s="36"/>
      <c r="D60" s="36"/>
      <c r="E60" s="36"/>
      <c r="F60" s="36"/>
      <c r="G60" s="36" t="str">
        <f>Currency</f>
        <v>USD</v>
      </c>
      <c r="H60" s="36"/>
      <c r="I60" s="36" t="s">
        <v>142</v>
      </c>
      <c r="J60" s="36" t="s">
        <v>142</v>
      </c>
      <c r="K60" s="36"/>
    </row>
    <row r="61" spans="2:11">
      <c r="B61" s="56">
        <f>IF($B$62="","",IF($B$62-1&lt;MIN(tblOrders[View ship]),"",$B$62-7))</f>
        <v>46251</v>
      </c>
      <c r="C61" s="38">
        <f>IF($B$61="","",COUNTIFS(tblOrders[View ship],"&gt;="&amp;$B$61,tblOrders[View ship],"&lt;"&amp;$B$61+7))</f>
        <v>6</v>
      </c>
      <c r="D61" s="38">
        <f>IF($B$61="","",COUNTIFS(tblOrders[View ship],"&gt;="&amp;$B$61,tblOrders[View ship],"&lt;"&amp;$B$61+7,tblOrders[On time],"Yes"))</f>
        <v>5</v>
      </c>
      <c r="E61" s="39">
        <f>IF($B$61="","",IF(($C$61)=0,"",($D$61)/($C$61)))</f>
        <v>0.833333333333333</v>
      </c>
      <c r="F61" s="57">
        <f>TargetOTD</f>
        <v>0.95</v>
      </c>
      <c r="G61" s="38">
        <f>IF($B$61="","",SUMIFS(tblOrders[Order value],tblOrders[View ship],"&gt;="&amp;$B$61,tblOrders[View ship],"&lt;"&amp;$B$61+7))</f>
        <v>16420</v>
      </c>
      <c r="H61" s="38"/>
      <c r="I61" s="58">
        <f>IF($B$61="","",SUMIFS(tblOrders[Est hours],tblOrders[View ship],"&gt;="&amp;$B$61,tblOrders[View ship],"&lt;"&amp;$B$61+7))</f>
        <v>99.5</v>
      </c>
      <c r="J61" s="58">
        <f>IF($B$61="","",SUMIFS(tblOrders[Actual hours],tblOrders[View ship],"&gt;="&amp;$B$61,tblOrders[View ship],"&lt;"&amp;$B$61+7))</f>
        <v>114.5</v>
      </c>
      <c r="K61" s="38">
        <f>IF($B$61="","",SUMIFS(tblOrders[Days late],tblOrders[View ship],"&gt;="&amp;$B$61,tblOrders[View ship],"&lt;"&amp;$B$61+7))</f>
        <v>6</v>
      </c>
    </row>
    <row r="62" spans="2:11">
      <c r="B62" s="56">
        <f>IF($B$63="","",IF($B$63-1&lt;MIN(tblOrders[View ship]),"",$B$63-7))</f>
        <v>46258</v>
      </c>
      <c r="C62" s="38">
        <f>IF($B$62="","",COUNTIFS(tblOrders[View ship],"&gt;="&amp;$B$62,tblOrders[View ship],"&lt;"&amp;$B$62+7))</f>
        <v>4</v>
      </c>
      <c r="D62" s="38">
        <f>IF($B$62="","",COUNTIFS(tblOrders[View ship],"&gt;="&amp;$B$62,tblOrders[View ship],"&lt;"&amp;$B$62+7,tblOrders[On time],"Yes"))</f>
        <v>4</v>
      </c>
      <c r="E62" s="39">
        <f>IF($B$62="","",IF(($C$62)=0,"",($D$62)/($C$62)))</f>
        <v>1</v>
      </c>
      <c r="F62" s="57">
        <f>TargetOTD</f>
        <v>0.95</v>
      </c>
      <c r="G62" s="38">
        <f>IF($B$62="","",SUMIFS(tblOrders[Order value],tblOrders[View ship],"&gt;="&amp;$B$62,tblOrders[View ship],"&lt;"&amp;$B$62+7))</f>
        <v>7780</v>
      </c>
      <c r="H62" s="38"/>
      <c r="I62" s="58">
        <f>IF($B$62="","",SUMIFS(tblOrders[Est hours],tblOrders[View ship],"&gt;="&amp;$B$62,tblOrders[View ship],"&lt;"&amp;$B$62+7))</f>
        <v>52.5</v>
      </c>
      <c r="J62" s="58">
        <f>IF($B$62="","",SUMIFS(tblOrders[Actual hours],tblOrders[View ship],"&gt;="&amp;$B$62,tblOrders[View ship],"&lt;"&amp;$B$62+7))</f>
        <v>60.5</v>
      </c>
      <c r="K62" s="38">
        <f>IF($B$62="","",SUMIFS(tblOrders[Days late],tblOrders[View ship],"&gt;="&amp;$B$62,tblOrders[View ship],"&lt;"&amp;$B$62+7))</f>
        <v>0</v>
      </c>
    </row>
    <row r="63" spans="2:11">
      <c r="B63" s="56">
        <f>IF($B$64="","",IF($B$64-1&lt;MIN(tblOrders[View ship]),"",$B$64-7))</f>
        <v>46265</v>
      </c>
      <c r="C63" s="38">
        <f>IF($B$63="","",COUNTIFS(tblOrders[View ship],"&gt;="&amp;$B$63,tblOrders[View ship],"&lt;"&amp;$B$63+7))</f>
        <v>7</v>
      </c>
      <c r="D63" s="38">
        <f>IF($B$63="","",COUNTIFS(tblOrders[View ship],"&gt;="&amp;$B$63,tblOrders[View ship],"&lt;"&amp;$B$63+7,tblOrders[On time],"Yes"))</f>
        <v>5</v>
      </c>
      <c r="E63" s="39">
        <f>IF($B$63="","",IF(($C$63)=0,"",($D$63)/($C$63)))</f>
        <v>0.714285714285714</v>
      </c>
      <c r="F63" s="57">
        <f>TargetOTD</f>
        <v>0.95</v>
      </c>
      <c r="G63" s="38">
        <f>IF($B$63="","",SUMIFS(tblOrders[Order value],tblOrders[View ship],"&gt;="&amp;$B$63,tblOrders[View ship],"&lt;"&amp;$B$63+7))</f>
        <v>27650</v>
      </c>
      <c r="H63" s="38"/>
      <c r="I63" s="58">
        <f>IF($B$63="","",SUMIFS(tblOrders[Est hours],tblOrders[View ship],"&gt;="&amp;$B$63,tblOrders[View ship],"&lt;"&amp;$B$63+7))</f>
        <v>173</v>
      </c>
      <c r="J63" s="58">
        <f>IF($B$63="","",SUMIFS(tblOrders[Actual hours],tblOrders[View ship],"&gt;="&amp;$B$63,tblOrders[View ship],"&lt;"&amp;$B$63+7))</f>
        <v>189.25</v>
      </c>
      <c r="K63" s="38">
        <f>IF($B$63="","",SUMIFS(tblOrders[Days late],tblOrders[View ship],"&gt;="&amp;$B$63,tblOrders[View ship],"&lt;"&amp;$B$63+7))</f>
        <v>21</v>
      </c>
    </row>
    <row r="64" spans="2:11">
      <c r="B64" s="56">
        <f>IF($B$65="","",IF($B$65-1&lt;MIN(tblOrders[View ship]),"",$B$65-7))</f>
        <v>46272</v>
      </c>
      <c r="C64" s="38">
        <f>IF($B$64="","",COUNTIFS(tblOrders[View ship],"&gt;="&amp;$B$64,tblOrders[View ship],"&lt;"&amp;$B$64+7))</f>
        <v>4</v>
      </c>
      <c r="D64" s="38">
        <f>IF($B$64="","",COUNTIFS(tblOrders[View ship],"&gt;="&amp;$B$64,tblOrders[View ship],"&lt;"&amp;$B$64+7,tblOrders[On time],"Yes"))</f>
        <v>4</v>
      </c>
      <c r="E64" s="39">
        <f>IF($B$64="","",IF(($C$64)=0,"",($D$64)/($C$64)))</f>
        <v>1</v>
      </c>
      <c r="F64" s="57">
        <f>TargetOTD</f>
        <v>0.95</v>
      </c>
      <c r="G64" s="38">
        <f>IF($B$64="","",SUMIFS(tblOrders[Order value],tblOrders[View ship],"&gt;="&amp;$B$64,tblOrders[View ship],"&lt;"&amp;$B$64+7))</f>
        <v>9090</v>
      </c>
      <c r="H64" s="38"/>
      <c r="I64" s="58">
        <f>IF($B$64="","",SUMIFS(tblOrders[Est hours],tblOrders[View ship],"&gt;="&amp;$B$64,tblOrders[View ship],"&lt;"&amp;$B$64+7))</f>
        <v>61.5</v>
      </c>
      <c r="J64" s="58">
        <f>IF($B$64="","",SUMIFS(tblOrders[Actual hours],tblOrders[View ship],"&gt;="&amp;$B$64,tblOrders[View ship],"&lt;"&amp;$B$64+7))</f>
        <v>70</v>
      </c>
      <c r="K64" s="38">
        <f>IF($B$64="","",SUMIFS(tblOrders[Days late],tblOrders[View ship],"&gt;="&amp;$B$64,tblOrders[View ship],"&lt;"&amp;$B$64+7))</f>
        <v>0</v>
      </c>
    </row>
    <row r="65" spans="2:11">
      <c r="B65" s="56">
        <f>IF($B$66="","",IF($B$66-1&lt;MIN(tblOrders[View ship]),"",$B$66-7))</f>
        <v>46279</v>
      </c>
      <c r="C65" s="38">
        <f>IF($B$65="","",COUNTIFS(tblOrders[View ship],"&gt;="&amp;$B$65,tblOrders[View ship],"&lt;"&amp;$B$65+7))</f>
        <v>3</v>
      </c>
      <c r="D65" s="38">
        <f>IF($B$65="","",COUNTIFS(tblOrders[View ship],"&gt;="&amp;$B$65,tblOrders[View ship],"&lt;"&amp;$B$65+7,tblOrders[On time],"Yes"))</f>
        <v>3</v>
      </c>
      <c r="E65" s="39">
        <f>IF($B$65="","",IF(($C$65)=0,"",($D$65)/($C$65)))</f>
        <v>1</v>
      </c>
      <c r="F65" s="57">
        <f>TargetOTD</f>
        <v>0.95</v>
      </c>
      <c r="G65" s="38">
        <f>IF($B$65="","",SUMIFS(tblOrders[Order value],tblOrders[View ship],"&gt;="&amp;$B$65,tblOrders[View ship],"&lt;"&amp;$B$65+7))</f>
        <v>8940</v>
      </c>
      <c r="H65" s="38"/>
      <c r="I65" s="58">
        <f>IF($B$65="","",SUMIFS(tblOrders[Est hours],tblOrders[View ship],"&gt;="&amp;$B$65,tblOrders[View ship],"&lt;"&amp;$B$65+7))</f>
        <v>54</v>
      </c>
      <c r="J65" s="58">
        <f>IF($B$65="","",SUMIFS(tblOrders[Actual hours],tblOrders[View ship],"&gt;="&amp;$B$65,tblOrders[View ship],"&lt;"&amp;$B$65+7))</f>
        <v>57</v>
      </c>
      <c r="K65" s="38">
        <f>IF($B$65="","",SUMIFS(tblOrders[Days late],tblOrders[View ship],"&gt;="&amp;$B$65,tblOrders[View ship],"&lt;"&amp;$B$65+7))</f>
        <v>0</v>
      </c>
    </row>
    <row r="66" spans="2:11">
      <c r="B66" s="56">
        <f>IF($B$67="","",IF($B$67-1&lt;MIN(tblOrders[View ship]),"",$B$67-7))</f>
        <v>46286</v>
      </c>
      <c r="C66" s="38">
        <f>IF($B$66="","",COUNTIFS(tblOrders[View ship],"&gt;="&amp;$B$66,tblOrders[View ship],"&lt;"&amp;$B$66+7))</f>
        <v>4</v>
      </c>
      <c r="D66" s="38">
        <f>IF($B$66="","",COUNTIFS(tblOrders[View ship],"&gt;="&amp;$B$66,tblOrders[View ship],"&lt;"&amp;$B$66+7,tblOrders[On time],"Yes"))</f>
        <v>1</v>
      </c>
      <c r="E66" s="39">
        <f>IF($B$66="","",IF(($C$66)=0,"",($D$66)/($C$66)))</f>
        <v>0.25</v>
      </c>
      <c r="F66" s="57">
        <f>TargetOTD</f>
        <v>0.95</v>
      </c>
      <c r="G66" s="38">
        <f>IF($B$66="","",SUMIFS(tblOrders[Order value],tblOrders[View ship],"&gt;="&amp;$B$66,tblOrders[View ship],"&lt;"&amp;$B$66+7))</f>
        <v>13400</v>
      </c>
      <c r="H66" s="38"/>
      <c r="I66" s="58">
        <f>IF($B$66="","",SUMIFS(tblOrders[Est hours],tblOrders[View ship],"&gt;="&amp;$B$66,tblOrders[View ship],"&lt;"&amp;$B$66+7))</f>
        <v>83</v>
      </c>
      <c r="J66" s="58">
        <f>IF($B$66="","",SUMIFS(tblOrders[Actual hours],tblOrders[View ship],"&gt;="&amp;$B$66,tblOrders[View ship],"&lt;"&amp;$B$66+7))</f>
        <v>96.25</v>
      </c>
      <c r="K66" s="38">
        <f>IF($B$66="","",SUMIFS(tblOrders[Days late],tblOrders[View ship],"&gt;="&amp;$B$66,tblOrders[View ship],"&lt;"&amp;$B$66+7))</f>
        <v>36</v>
      </c>
    </row>
    <row r="67" spans="2:11">
      <c r="B67" s="56">
        <f>IF($B$68="","",IF($B$68-1&lt;MIN(tblOrders[View ship]),"",$B$68-7))</f>
        <v>46293</v>
      </c>
      <c r="C67" s="38">
        <f>IF($B$67="","",COUNTIFS(tblOrders[View ship],"&gt;="&amp;$B$67,tblOrders[View ship],"&lt;"&amp;$B$67+7))</f>
        <v>4</v>
      </c>
      <c r="D67" s="38">
        <f>IF($B$67="","",COUNTIFS(tblOrders[View ship],"&gt;="&amp;$B$67,tblOrders[View ship],"&lt;"&amp;$B$67+7,tblOrders[On time],"Yes"))</f>
        <v>3</v>
      </c>
      <c r="E67" s="39">
        <f>IF($B$67="","",IF(($C$67)=0,"",($D$67)/($C$67)))</f>
        <v>0.75</v>
      </c>
      <c r="F67" s="57">
        <f>TargetOTD</f>
        <v>0.95</v>
      </c>
      <c r="G67" s="38">
        <f>IF($B$67="","",SUMIFS(tblOrders[Order value],tblOrders[View ship],"&gt;="&amp;$B$67,tblOrders[View ship],"&lt;"&amp;$B$67+7))</f>
        <v>8400</v>
      </c>
      <c r="H67" s="38"/>
      <c r="I67" s="58">
        <f>IF($B$67="","",SUMIFS(tblOrders[Est hours],tblOrders[View ship],"&gt;="&amp;$B$67,tblOrders[View ship],"&lt;"&amp;$B$67+7))</f>
        <v>56.5</v>
      </c>
      <c r="J67" s="58">
        <f>IF($B$67="","",SUMIFS(tblOrders[Actual hours],tblOrders[View ship],"&gt;="&amp;$B$67,tblOrders[View ship],"&lt;"&amp;$B$67+7))</f>
        <v>59.75</v>
      </c>
      <c r="K67" s="38">
        <f>IF($B$67="","",SUMIFS(tblOrders[Days late],tblOrders[View ship],"&gt;="&amp;$B$67,tblOrders[View ship],"&lt;"&amp;$B$67+7))</f>
        <v>8</v>
      </c>
    </row>
    <row r="68" spans="2:11">
      <c r="B68" s="56">
        <f>IF(COUNT(tblOrders[View ship])=0,"",MAX(tblOrders[View ship])-WEEKDAY(MAX(tblOrders[View ship]),2)+1)</f>
        <v>46300</v>
      </c>
      <c r="C68" s="38">
        <f>IF($B$68="","",COUNTIFS(tblOrders[View ship],"&gt;="&amp;$B$68,tblOrders[View ship],"&lt;"&amp;$B$68+7))</f>
        <v>3</v>
      </c>
      <c r="D68" s="38">
        <f>IF($B$68="","",COUNTIFS(tblOrders[View ship],"&gt;="&amp;$B$68,tblOrders[View ship],"&lt;"&amp;$B$68+7,tblOrders[On time],"Yes"))</f>
        <v>3</v>
      </c>
      <c r="E68" s="39">
        <f>IF($B$68="","",IF(($C$68)=0,"",($D$68)/($C$68)))</f>
        <v>1</v>
      </c>
      <c r="F68" s="57">
        <f>TargetOTD</f>
        <v>0.95</v>
      </c>
      <c r="G68" s="38">
        <f>IF($B$68="","",SUMIFS(tblOrders[Order value],tblOrders[View ship],"&gt;="&amp;$B$68,tblOrders[View ship],"&lt;"&amp;$B$68+7))</f>
        <v>11510</v>
      </c>
      <c r="H68" s="38"/>
      <c r="I68" s="58">
        <f>IF($B$68="","",SUMIFS(tblOrders[Est hours],tblOrders[View ship],"&gt;="&amp;$B$68,tblOrders[View ship],"&lt;"&amp;$B$68+7))</f>
        <v>76.5</v>
      </c>
      <c r="J68" s="58">
        <f>IF($B$68="","",SUMIFS(tblOrders[Actual hours],tblOrders[View ship],"&gt;="&amp;$B$68,tblOrders[View ship],"&lt;"&amp;$B$68+7))</f>
        <v>81.75</v>
      </c>
      <c r="K68" s="38">
        <f>IF($B$68="","",SUMIFS(tblOrders[Days late],tblOrders[View ship],"&gt;="&amp;$B$68,tblOrders[View ship],"&lt;"&amp;$B$68+7))</f>
        <v>0</v>
      </c>
    </row>
    <row r="70" spans="2:11">
      <c r="B70" s="33" t="s">
        <v>311</v>
      </c>
      <c r="C70" s="33"/>
      <c r="D70" s="33"/>
      <c r="E70" s="33"/>
      <c r="F70" s="33"/>
      <c r="G70" s="33"/>
      <c r="H70" s="33"/>
      <c r="I70" s="33"/>
      <c r="J70" s="33"/>
      <c r="K70" s="33"/>
    </row>
    <row r="71" spans="2:11" ht="32" customHeight="1">
      <c r="B71" s="55" t="s">
        <v>65</v>
      </c>
      <c r="C71" s="34" t="s">
        <v>312</v>
      </c>
      <c r="D71" s="34" t="s">
        <v>313</v>
      </c>
      <c r="E71" s="34" t="s">
        <v>314</v>
      </c>
      <c r="F71" s="34" t="s">
        <v>315</v>
      </c>
      <c r="G71" s="34" t="s">
        <v>316</v>
      </c>
      <c r="H71" s="34"/>
      <c r="I71" s="34" t="s">
        <v>125</v>
      </c>
      <c r="J71" s="34" t="s">
        <v>317</v>
      </c>
      <c r="K71" s="34" t="s">
        <v>310</v>
      </c>
    </row>
    <row r="72" spans="2:11" ht="14" customHeight="1">
      <c r="B72" s="36"/>
      <c r="C72" s="36"/>
      <c r="D72" s="36"/>
      <c r="E72" s="36"/>
      <c r="F72" s="36"/>
      <c r="G72" s="36" t="str">
        <f>Currency</f>
        <v>USD</v>
      </c>
      <c r="H72" s="36"/>
      <c r="I72" s="36" t="s">
        <v>142</v>
      </c>
      <c r="J72" s="36" t="s">
        <v>142</v>
      </c>
      <c r="K72" s="36"/>
    </row>
    <row r="73" spans="2:11">
      <c r="B73" s="59" t="str">
        <f>IFERROR(INDEX(tblStages[Stage],1)&amp;"","")</f>
        <v>Released</v>
      </c>
      <c r="C73" s="38">
        <f>IF($B$73="","",COUNTIFS(tblOrders[Stage],$B$73,tblOrders[View open],"&gt;0",tblOrders[Status],"Overdue"))</f>
        <v>0</v>
      </c>
      <c r="D73" s="38">
        <f>IF($B$73="","",COUNTIFS(tblOrders[Stage],$B$73,tblOrders[View open],"&gt;0",tblOrders[Status],"Due soon"))</f>
        <v>0</v>
      </c>
      <c r="E73" s="38">
        <f>IF($B$73="","",COUNTIFS(tblOrders[Stage],$B$73,tblOrders[View open],"&gt;0",tblOrders[Status],"In progress"))</f>
        <v>0</v>
      </c>
      <c r="F73" s="38">
        <f>IF($B$73="","",COUNTIFS(tblOrders[Stage],$B$73,tblOrders[View open],"&gt;0"))</f>
        <v>0</v>
      </c>
      <c r="G73" s="38">
        <f>IF($B$73="","",SUMIFS(tblOrders[Order value],tblOrders[Stage],$B$73,tblOrders[View open],"&gt;0"))</f>
        <v>0</v>
      </c>
      <c r="H73" s="38"/>
      <c r="I73" s="58">
        <f>IF($B$73="","",SUMIFS(tblOrders[Est hours],tblOrders[Stage],$B$73,tblOrders[View open],"&gt;0"))</f>
        <v>0</v>
      </c>
      <c r="J73" s="58">
        <f>IF($B$73="","",SUMIFS(tblOrders[Actual hours],tblOrders[Stage],$B$73,tblOrders[View open],"&gt;0"))</f>
        <v>0</v>
      </c>
      <c r="K73" s="38">
        <f>IF($B$73="","",SUMIFS(tblOrders[Days late],tblOrders[Stage],$B$73,tblOrders[View open],"&gt;0"))</f>
        <v>0</v>
      </c>
    </row>
    <row r="74" spans="2:11">
      <c r="B74" s="59" t="str">
        <f>IFERROR(INDEX(tblStages[Stage],2)&amp;"","")</f>
        <v>Material</v>
      </c>
      <c r="C74" s="38">
        <f>IF($B$74="","",COUNTIFS(tblOrders[Stage],$B$74,tblOrders[View open],"&gt;0",tblOrders[Status],"Overdue"))</f>
        <v>0</v>
      </c>
      <c r="D74" s="38">
        <f>IF($B$74="","",COUNTIFS(tblOrders[Stage],$B$74,tblOrders[View open],"&gt;0",tblOrders[Status],"Due soon"))</f>
        <v>0</v>
      </c>
      <c r="E74" s="38">
        <f>IF($B$74="","",COUNTIFS(tblOrders[Stage],$B$74,tblOrders[View open],"&gt;0",tblOrders[Status],"In progress"))</f>
        <v>1</v>
      </c>
      <c r="F74" s="38">
        <f>IF($B$74="","",COUNTIFS(tblOrders[Stage],$B$74,tblOrders[View open],"&gt;0"))</f>
        <v>1</v>
      </c>
      <c r="G74" s="38">
        <f>IF($B$74="","",SUMIFS(tblOrders[Order value],tblOrders[Stage],$B$74,tblOrders[View open],"&gt;0"))</f>
        <v>3310</v>
      </c>
      <c r="H74" s="38"/>
      <c r="I74" s="58">
        <f>IF($B$74="","",SUMIFS(tblOrders[Est hours],tblOrders[Stage],$B$74,tblOrders[View open],"&gt;0"))</f>
        <v>22.5</v>
      </c>
      <c r="J74" s="58">
        <f>IF($B$74="","",SUMIFS(tblOrders[Actual hours],tblOrders[Stage],$B$74,tblOrders[View open],"&gt;0"))</f>
        <v>5.75</v>
      </c>
      <c r="K74" s="38">
        <f>IF($B$74="","",SUMIFS(tblOrders[Days late],tblOrders[Stage],$B$74,tblOrders[View open],"&gt;0"))</f>
        <v>0</v>
      </c>
    </row>
    <row r="75" spans="2:11">
      <c r="B75" s="59" t="str">
        <f>IFERROR(INDEX(tblStages[Stage],3)&amp;"","")</f>
        <v>Machining</v>
      </c>
      <c r="C75" s="38">
        <f>IF($B$75="","",COUNTIFS(tblOrders[Stage],$B$75,tblOrders[View open],"&gt;0",tblOrders[Status],"Overdue"))</f>
        <v>0</v>
      </c>
      <c r="D75" s="38">
        <f>IF($B$75="","",COUNTIFS(tblOrders[Stage],$B$75,tblOrders[View open],"&gt;0",tblOrders[Status],"Due soon"))</f>
        <v>0</v>
      </c>
      <c r="E75" s="38">
        <f>IF($B$75="","",COUNTIFS(tblOrders[Stage],$B$75,tblOrders[View open],"&gt;0",tblOrders[Status],"In progress"))</f>
        <v>0</v>
      </c>
      <c r="F75" s="38">
        <f>IF($B$75="","",COUNTIFS(tblOrders[Stage],$B$75,tblOrders[View open],"&gt;0"))</f>
        <v>0</v>
      </c>
      <c r="G75" s="38">
        <f>IF($B$75="","",SUMIFS(tblOrders[Order value],tblOrders[Stage],$B$75,tblOrders[View open],"&gt;0"))</f>
        <v>0</v>
      </c>
      <c r="H75" s="38"/>
      <c r="I75" s="58">
        <f>IF($B$75="","",SUMIFS(tblOrders[Est hours],tblOrders[Stage],$B$75,tblOrders[View open],"&gt;0"))</f>
        <v>0</v>
      </c>
      <c r="J75" s="58">
        <f>IF($B$75="","",SUMIFS(tblOrders[Actual hours],tblOrders[Stage],$B$75,tblOrders[View open],"&gt;0"))</f>
        <v>0</v>
      </c>
      <c r="K75" s="38">
        <f>IF($B$75="","",SUMIFS(tblOrders[Days late],tblOrders[Stage],$B$75,tblOrders[View open],"&gt;0"))</f>
        <v>0</v>
      </c>
    </row>
    <row r="76" spans="2:11">
      <c r="B76" s="59" t="str">
        <f>IFERROR(INDEX(tblStages[Stage],4)&amp;"","")</f>
        <v>Fabrication</v>
      </c>
      <c r="C76" s="38">
        <f>IF($B$76="","",COUNTIFS(tblOrders[Stage],$B$76,tblOrders[View open],"&gt;0",tblOrders[Status],"Overdue"))</f>
        <v>1</v>
      </c>
      <c r="D76" s="38">
        <f>IF($B$76="","",COUNTIFS(tblOrders[Stage],$B$76,tblOrders[View open],"&gt;0",tblOrders[Status],"Due soon"))</f>
        <v>0</v>
      </c>
      <c r="E76" s="38">
        <f>IF($B$76="","",COUNTIFS(tblOrders[Stage],$B$76,tblOrders[View open],"&gt;0",tblOrders[Status],"In progress"))</f>
        <v>0</v>
      </c>
      <c r="F76" s="38">
        <f>IF($B$76="","",COUNTIFS(tblOrders[Stage],$B$76,tblOrders[View open],"&gt;0"))</f>
        <v>1</v>
      </c>
      <c r="G76" s="38">
        <f>IF($B$76="","",SUMIFS(tblOrders[Order value],tblOrders[Stage],$B$76,tblOrders[View open],"&gt;0"))</f>
        <v>6230</v>
      </c>
      <c r="H76" s="38"/>
      <c r="I76" s="58">
        <f>IF($B$76="","",SUMIFS(tblOrders[Est hours],tblOrders[Stage],$B$76,tblOrders[View open],"&gt;0"))</f>
        <v>35.5</v>
      </c>
      <c r="J76" s="58">
        <f>IF($B$76="","",SUMIFS(tblOrders[Actual hours],tblOrders[Stage],$B$76,tblOrders[View open],"&gt;0"))</f>
        <v>32</v>
      </c>
      <c r="K76" s="38">
        <f>IF($B$76="","",SUMIFS(tblOrders[Days late],tblOrders[Stage],$B$76,tblOrders[View open],"&gt;0"))</f>
        <v>16</v>
      </c>
    </row>
    <row r="77" spans="2:11">
      <c r="B77" s="59" t="str">
        <f>IFERROR(INDEX(tblStages[Stage],5)&amp;"","")</f>
        <v>Finishing</v>
      </c>
      <c r="C77" s="38">
        <f>IF($B$77="","",COUNTIFS(tblOrders[Stage],$B$77,tblOrders[View open],"&gt;0",tblOrders[Status],"Overdue"))</f>
        <v>0</v>
      </c>
      <c r="D77" s="38">
        <f>IF($B$77="","",COUNTIFS(tblOrders[Stage],$B$77,tblOrders[View open],"&gt;0",tblOrders[Status],"Due soon"))</f>
        <v>2</v>
      </c>
      <c r="E77" s="38">
        <f>IF($B$77="","",COUNTIFS(tblOrders[Stage],$B$77,tblOrders[View open],"&gt;0",tblOrders[Status],"In progress"))</f>
        <v>3</v>
      </c>
      <c r="F77" s="38">
        <f>IF($B$77="","",COUNTIFS(tblOrders[Stage],$B$77,tblOrders[View open],"&gt;0"))</f>
        <v>5</v>
      </c>
      <c r="G77" s="38">
        <f>IF($B$77="","",SUMIFS(tblOrders[Order value],tblOrders[Stage],$B$77,tblOrders[View open],"&gt;0"))</f>
        <v>10910</v>
      </c>
      <c r="H77" s="38"/>
      <c r="I77" s="58">
        <f>IF($B$77="","",SUMIFS(tblOrders[Est hours],tblOrders[Stage],$B$77,tblOrders[View open],"&gt;0"))</f>
        <v>69</v>
      </c>
      <c r="J77" s="58">
        <f>IF($B$77="","",SUMIFS(tblOrders[Actual hours],tblOrders[Stage],$B$77,tblOrders[View open],"&gt;0"))</f>
        <v>44</v>
      </c>
      <c r="K77" s="38">
        <f>IF($B$77="","",SUMIFS(tblOrders[Days late],tblOrders[Stage],$B$77,tblOrders[View open],"&gt;0"))</f>
        <v>0</v>
      </c>
    </row>
    <row r="78" spans="2:11">
      <c r="B78" s="59" t="str">
        <f>IFERROR(INDEX(tblStages[Stage],6)&amp;"","")</f>
        <v>Outside processing</v>
      </c>
      <c r="C78" s="38">
        <f>IF($B$78="","",COUNTIFS(tblOrders[Stage],$B$78,tblOrders[View open],"&gt;0",tblOrders[Status],"Overdue"))</f>
        <v>1</v>
      </c>
      <c r="D78" s="38">
        <f>IF($B$78="","",COUNTIFS(tblOrders[Stage],$B$78,tblOrders[View open],"&gt;0",tblOrders[Status],"Due soon"))</f>
        <v>1</v>
      </c>
      <c r="E78" s="38">
        <f>IF($B$78="","",COUNTIFS(tblOrders[Stage],$B$78,tblOrders[View open],"&gt;0",tblOrders[Status],"In progress"))</f>
        <v>0</v>
      </c>
      <c r="F78" s="38">
        <f>IF($B$78="","",COUNTIFS(tblOrders[Stage],$B$78,tblOrders[View open],"&gt;0"))</f>
        <v>2</v>
      </c>
      <c r="G78" s="38">
        <f>IF($B$78="","",SUMIFS(tblOrders[Order value],tblOrders[Stage],$B$78,tblOrders[View open],"&gt;0"))</f>
        <v>9610</v>
      </c>
      <c r="H78" s="38"/>
      <c r="I78" s="58">
        <f>IF($B$78="","",SUMIFS(tblOrders[Est hours],tblOrders[Stage],$B$78,tblOrders[View open],"&gt;0"))</f>
        <v>65.5</v>
      </c>
      <c r="J78" s="58">
        <f>IF($B$78="","",SUMIFS(tblOrders[Actual hours],tblOrders[Stage],$B$78,tblOrders[View open],"&gt;0"))</f>
        <v>60</v>
      </c>
      <c r="K78" s="38">
        <f>IF($B$78="","",SUMIFS(tblOrders[Days late],tblOrders[Stage],$B$78,tblOrders[View open],"&gt;0"))</f>
        <v>2</v>
      </c>
    </row>
    <row r="79" spans="2:11">
      <c r="B79" s="59" t="str">
        <f>IFERROR(INDEX(tblStages[Stage],7)&amp;"","")</f>
        <v>Inspection</v>
      </c>
      <c r="C79" s="38">
        <f>IF($B$79="","",COUNTIFS(tblOrders[Stage],$B$79,tblOrders[View open],"&gt;0",tblOrders[Status],"Overdue"))</f>
        <v>1</v>
      </c>
      <c r="D79" s="38">
        <f>IF($B$79="","",COUNTIFS(tblOrders[Stage],$B$79,tblOrders[View open],"&gt;0",tblOrders[Status],"Due soon"))</f>
        <v>4</v>
      </c>
      <c r="E79" s="38">
        <f>IF($B$79="","",COUNTIFS(tblOrders[Stage],$B$79,tblOrders[View open],"&gt;0",tblOrders[Status],"In progress"))</f>
        <v>1</v>
      </c>
      <c r="F79" s="38">
        <f>IF($B$79="","",COUNTIFS(tblOrders[Stage],$B$79,tblOrders[View open],"&gt;0"))</f>
        <v>6</v>
      </c>
      <c r="G79" s="38">
        <f>IF($B$79="","",SUMIFS(tblOrders[Order value],tblOrders[Stage],$B$79,tblOrders[View open],"&gt;0"))</f>
        <v>19760</v>
      </c>
      <c r="H79" s="38"/>
      <c r="I79" s="58">
        <f>IF($B$79="","",SUMIFS(tblOrders[Est hours],tblOrders[Stage],$B$79,tblOrders[View open],"&gt;0"))</f>
        <v>135.5</v>
      </c>
      <c r="J79" s="58">
        <f>IF($B$79="","",SUMIFS(tblOrders[Actual hours],tblOrders[Stage],$B$79,tblOrders[View open],"&gt;0"))</f>
        <v>120.75</v>
      </c>
      <c r="K79" s="38">
        <f>IF($B$79="","",SUMIFS(tblOrders[Days late],tblOrders[Stage],$B$79,tblOrders[View open],"&gt;0"))</f>
        <v>14</v>
      </c>
    </row>
    <row r="80" spans="2:11">
      <c r="B80" s="59" t="str">
        <f>IFERROR(INDEX(tblStages[Stage],8)&amp;"","")</f>
        <v>Ready to ship</v>
      </c>
      <c r="C80" s="38">
        <f>IF($B$80="","",COUNTIFS(tblOrders[Stage],$B$80,tblOrders[View open],"&gt;0",tblOrders[Status],"Overdue"))</f>
        <v>0</v>
      </c>
      <c r="D80" s="38">
        <f>IF($B$80="","",COUNTIFS(tblOrders[Stage],$B$80,tblOrders[View open],"&gt;0",tblOrders[Status],"Due soon"))</f>
        <v>2</v>
      </c>
      <c r="E80" s="38">
        <f>IF($B$80="","",COUNTIFS(tblOrders[Stage],$B$80,tblOrders[View open],"&gt;0",tblOrders[Status],"In progress"))</f>
        <v>0</v>
      </c>
      <c r="F80" s="38">
        <f>IF($B$80="","",COUNTIFS(tblOrders[Stage],$B$80,tblOrders[View open],"&gt;0"))</f>
        <v>2</v>
      </c>
      <c r="G80" s="38">
        <f>IF($B$80="","",SUMIFS(tblOrders[Order value],tblOrders[Stage],$B$80,tblOrders[View open],"&gt;0"))</f>
        <v>13210</v>
      </c>
      <c r="H80" s="38"/>
      <c r="I80" s="58">
        <f>IF($B$80="","",SUMIFS(tblOrders[Est hours],tblOrders[Stage],$B$80,tblOrders[View open],"&gt;0"))</f>
        <v>91</v>
      </c>
      <c r="J80" s="58">
        <f>IF($B$80="","",SUMIFS(tblOrders[Actual hours],tblOrders[Stage],$B$80,tblOrders[View open],"&gt;0"))</f>
        <v>93.5</v>
      </c>
      <c r="K80" s="38">
        <f>IF($B$80="","",SUMIFS(tblOrders[Days late],tblOrders[Stage],$B$80,tblOrders[View open],"&gt;0"))</f>
        <v>0</v>
      </c>
    </row>
    <row r="82" spans="2:12">
      <c r="B82" s="33" t="s">
        <v>318</v>
      </c>
      <c r="C82" s="33"/>
      <c r="D82" s="33"/>
      <c r="E82" s="33"/>
      <c r="F82" s="33"/>
      <c r="G82" s="33"/>
      <c r="H82" s="33"/>
      <c r="I82" s="33"/>
      <c r="J82" s="33"/>
      <c r="K82" s="33"/>
      <c r="L82" s="33"/>
    </row>
    <row r="83" spans="2:12" ht="32" customHeight="1">
      <c r="B83" s="55" t="s">
        <v>62</v>
      </c>
      <c r="C83" s="34" t="s">
        <v>123</v>
      </c>
      <c r="D83" s="34" t="s">
        <v>307</v>
      </c>
      <c r="E83" s="34" t="s">
        <v>125</v>
      </c>
      <c r="F83" s="34" t="s">
        <v>126</v>
      </c>
      <c r="G83" s="34" t="s">
        <v>319</v>
      </c>
      <c r="H83" s="34" t="s">
        <v>132</v>
      </c>
      <c r="I83" s="34" t="s">
        <v>78</v>
      </c>
      <c r="J83" s="34" t="s">
        <v>315</v>
      </c>
      <c r="K83" s="34" t="s">
        <v>312</v>
      </c>
      <c r="L83" s="34" t="s">
        <v>316</v>
      </c>
    </row>
    <row r="84" spans="2:12" ht="14" customHeight="1">
      <c r="B84" s="36"/>
      <c r="C84" s="36"/>
      <c r="D84" s="36"/>
      <c r="E84" s="36" t="s">
        <v>142</v>
      </c>
      <c r="F84" s="36" t="s">
        <v>142</v>
      </c>
      <c r="G84" s="36"/>
      <c r="H84" s="36"/>
      <c r="I84" s="36"/>
      <c r="J84" s="36"/>
      <c r="K84" s="36"/>
      <c r="L84" s="36" t="str">
        <f>Currency</f>
        <v>USD</v>
      </c>
    </row>
    <row r="85" spans="2:12">
      <c r="B85" s="59" t="str">
        <f>IFERROR(INDEX(tblCustomers[Customer],1)&amp;"","")</f>
        <v>Corvane Aero</v>
      </c>
      <c r="C85" s="38">
        <f>IF($B$85="","",COUNTIFS(tblOrders[Customer],$B$85,tblOrders[View ship],"&gt;0"))</f>
        <v>7</v>
      </c>
      <c r="D85" s="39">
        <f>IF($B$85="","",IF(($C$85)=0,"",(COUNTIFS(tblOrders[Customer],$B$85,tblOrders[View ship],"&gt;0",tblOrders[On time],"Yes"))/($C$85)))</f>
        <v>0.571428571428571</v>
      </c>
      <c r="E85" s="58">
        <f>IF($B$85="","",SUMIFS(tblOrders[Est hours],tblOrders[Customer],$B$85,tblOrders[View ship],"&gt;0"))</f>
        <v>260</v>
      </c>
      <c r="F85" s="58">
        <f>IF($B$85="","",SUMIFS(tblOrders[Actual hours],tblOrders[Customer],$B$85,tblOrders[View ship],"&gt;0"))</f>
        <v>292</v>
      </c>
      <c r="G85" s="60">
        <f>IF($B$85="","",IF($E$85=0,"",$F$85/$E$85-1))</f>
        <v>0.123076923076923</v>
      </c>
      <c r="H85" s="39">
        <f>IF($B$85="","",IF((SUMIFS(tblOrders[Order value],tblOrders[Customer],$B$85,tblOrders[View ship],"&gt;0"))=0,"",(SUMIFS(tblOrders[Order value],tblOrders[Customer],$B$85,tblOrders[View ship],"&gt;0")-SUMIFS(tblOrders[Actual cost],tblOrders[Customer],$B$85,tblOrders[View ship],"&gt;0"))/(SUMIFS(tblOrders[Order value],tblOrders[Customer],$B$85,tblOrders[View ship],"&gt;0"))))</f>
        <v>0.219693034238489</v>
      </c>
      <c r="I85" s="57">
        <f>TargetMargin</f>
        <v>0.25</v>
      </c>
      <c r="J85" s="38">
        <f>IF($B$85="","",COUNTIFS(tblOrders[Customer],$B$85,tblOrders[View open],"&gt;0"))</f>
        <v>6</v>
      </c>
      <c r="K85" s="38">
        <f>IF($B$85="","",COUNTIFS(tblOrders[Customer],$B$85,tblOrders[View open],"&gt;0",tblOrders[Status],"Overdue"))</f>
        <v>1</v>
      </c>
      <c r="L85" s="38">
        <f>IF($B$85="","",SUMIFS(tblOrders[Order value],tblOrders[Customer],$B$85,tblOrders[View open],"&gt;0"))</f>
        <v>33210</v>
      </c>
    </row>
    <row r="86" spans="2:12">
      <c r="B86" s="59" t="str">
        <f>IFERROR(INDEX(tblCustomers[Customer],2)&amp;"","")</f>
        <v>Delta Hydraulics</v>
      </c>
      <c r="C86" s="38">
        <f>IF($B$86="","",COUNTIFS(tblOrders[Customer],$B$86,tblOrders[View ship],"&gt;0"))</f>
        <v>15</v>
      </c>
      <c r="D86" s="39">
        <f>IF($B$86="","",IF(($C$86)=0,"",(COUNTIFS(tblOrders[Customer],$B$86,tblOrders[View ship],"&gt;0",tblOrders[On time],"Yes"))/($C$86)))</f>
        <v>0.866666666666667</v>
      </c>
      <c r="E86" s="58">
        <f>IF($B$86="","",SUMIFS(tblOrders[Est hours],tblOrders[Customer],$B$86,tblOrders[View ship],"&gt;0"))</f>
        <v>231</v>
      </c>
      <c r="F86" s="58">
        <f>IF($B$86="","",SUMIFS(tblOrders[Actual hours],tblOrders[Customer],$B$86,tblOrders[View ship],"&gt;0"))</f>
        <v>224.75</v>
      </c>
      <c r="G86" s="60">
        <f>IF($B$86="","",IF($E$86=0,"",$F$86/$E$86-1))</f>
        <v>-0.0270562770562771</v>
      </c>
      <c r="H86" s="39">
        <f>IF($B$86="","",IF((SUMIFS(tblOrders[Order value],tblOrders[Customer],$B$86,tblOrders[View ship],"&gt;0"))=0,"",(SUMIFS(tblOrders[Order value],tblOrders[Customer],$B$86,tblOrders[View ship],"&gt;0")-SUMIFS(tblOrders[Actual cost],tblOrders[Customer],$B$86,tblOrders[View ship],"&gt;0"))/(SUMIFS(tblOrders[Order value],tblOrders[Customer],$B$86,tblOrders[View ship],"&gt;0"))))</f>
        <v>0.296345278725825</v>
      </c>
      <c r="I86" s="57">
        <f>TargetMargin</f>
        <v>0.25</v>
      </c>
      <c r="J86" s="38">
        <f>IF($B$86="","",COUNTIFS(tblOrders[Customer],$B$86,tblOrders[View open],"&gt;0"))</f>
        <v>0</v>
      </c>
      <c r="K86" s="38">
        <f>IF($B$86="","",COUNTIFS(tblOrders[Customer],$B$86,tblOrders[View open],"&gt;0",tblOrders[Status],"Overdue"))</f>
        <v>0</v>
      </c>
      <c r="L86" s="38">
        <f>IF($B$86="","",SUMIFS(tblOrders[Order value],tblOrders[Customer],$B$86,tblOrders[View open],"&gt;0"))</f>
        <v>0</v>
      </c>
    </row>
    <row r="87" spans="2:12">
      <c r="B87" s="59" t="str">
        <f>IFERROR(INDEX(tblCustomers[Customer],3)&amp;"","")</f>
        <v>Hollis Agri</v>
      </c>
      <c r="C87" s="38">
        <f>IF($B$87="","",COUNTIFS(tblOrders[Customer],$B$87,tblOrders[View ship],"&gt;0"))</f>
        <v>7</v>
      </c>
      <c r="D87" s="39">
        <f>IF($B$87="","",IF(($C$87)=0,"",(COUNTIFS(tblOrders[Customer],$B$87,tblOrders[View ship],"&gt;0",tblOrders[On time],"Yes"))/($C$87)))</f>
        <v>1</v>
      </c>
      <c r="E87" s="58">
        <f>IF($B$87="","",SUMIFS(tblOrders[Est hours],tblOrders[Customer],$B$87,tblOrders[View ship],"&gt;0"))</f>
        <v>163.5</v>
      </c>
      <c r="F87" s="58">
        <f>IF($B$87="","",SUMIFS(tblOrders[Actual hours],tblOrders[Customer],$B$87,tblOrders[View ship],"&gt;0"))</f>
        <v>179.75</v>
      </c>
      <c r="G87" s="60">
        <f>IF($B$87="","",IF($E$87=0,"",$F$87/$E$87-1))</f>
        <v>0.0993883792048931</v>
      </c>
      <c r="H87" s="39">
        <f>IF($B$87="","",IF((SUMIFS(tblOrders[Order value],tblOrders[Customer],$B$87,tblOrders[View ship],"&gt;0"))=0,"",(SUMIFS(tblOrders[Order value],tblOrders[Customer],$B$87,tblOrders[View ship],"&gt;0")-SUMIFS(tblOrders[Actual cost],tblOrders[Customer],$B$87,tblOrders[View ship],"&gt;0"))/(SUMIFS(tblOrders[Order value],tblOrders[Customer],$B$87,tblOrders[View ship],"&gt;0"))))</f>
        <v>0.25132183908046</v>
      </c>
      <c r="I87" s="57">
        <f>TargetMargin</f>
        <v>0.25</v>
      </c>
      <c r="J87" s="38">
        <f>IF($B$87="","",COUNTIFS(tblOrders[Customer],$B$87,tblOrders[View open],"&gt;0"))</f>
        <v>2</v>
      </c>
      <c r="K87" s="38">
        <f>IF($B$87="","",COUNTIFS(tblOrders[Customer],$B$87,tblOrders[View open],"&gt;0",tblOrders[Status],"Overdue"))</f>
        <v>1</v>
      </c>
      <c r="L87" s="38">
        <f>IF($B$87="","",SUMIFS(tblOrders[Order value],tblOrders[Customer],$B$87,tblOrders[View open],"&gt;0"))</f>
        <v>9540</v>
      </c>
    </row>
    <row r="88" spans="2:12">
      <c r="B88" s="59" t="str">
        <f>IFERROR(INDEX(tblCustomers[Customer],4)&amp;"","")</f>
        <v>Marlow Packaging</v>
      </c>
      <c r="C88" s="38">
        <f>IF($B$88="","",COUNTIFS(tblOrders[Customer],$B$88,tblOrders[View ship],"&gt;0"))</f>
        <v>12</v>
      </c>
      <c r="D88" s="39">
        <f>IF($B$88="","",IF(($C$88)=0,"",(COUNTIFS(tblOrders[Customer],$B$88,tblOrders[View ship],"&gt;0",tblOrders[On time],"Yes"))/($C$88)))</f>
        <v>0.916666666666667</v>
      </c>
      <c r="E88" s="58">
        <f>IF($B$88="","",SUMIFS(tblOrders[Est hours],tblOrders[Customer],$B$88,tblOrders[View ship],"&gt;0"))</f>
        <v>114.5</v>
      </c>
      <c r="F88" s="58">
        <f>IF($B$88="","",SUMIFS(tblOrders[Actual hours],tblOrders[Customer],$B$88,tblOrders[View ship],"&gt;0"))</f>
        <v>121.75</v>
      </c>
      <c r="G88" s="60">
        <f>IF($B$88="","",IF($E$88=0,"",$F$88/$E$88-1))</f>
        <v>0.0633187772925765</v>
      </c>
      <c r="H88" s="39">
        <f>IF($B$88="","",IF((SUMIFS(tblOrders[Order value],tblOrders[Customer],$B$88,tblOrders[View ship],"&gt;0"))=0,"",(SUMIFS(tblOrders[Order value],tblOrders[Customer],$B$88,tblOrders[View ship],"&gt;0")-SUMIFS(tblOrders[Actual cost],tblOrders[Customer],$B$88,tblOrders[View ship],"&gt;0"))/(SUMIFS(tblOrders[Order value],tblOrders[Customer],$B$88,tblOrders[View ship],"&gt;0"))))</f>
        <v>0.233617146212566</v>
      </c>
      <c r="I88" s="57">
        <f>TargetMargin</f>
        <v>0.25</v>
      </c>
      <c r="J88" s="38">
        <f>IF($B$88="","",COUNTIFS(tblOrders[Customer],$B$88,tblOrders[View open],"&gt;0"))</f>
        <v>5</v>
      </c>
      <c r="K88" s="38">
        <f>IF($B$88="","",COUNTIFS(tblOrders[Customer],$B$88,tblOrders[View open],"&gt;0",tblOrders[Status],"Overdue"))</f>
        <v>1</v>
      </c>
      <c r="L88" s="38">
        <f>IF($B$88="","",SUMIFS(tblOrders[Order value],tblOrders[Customer],$B$88,tblOrders[View open],"&gt;0"))</f>
        <v>7130</v>
      </c>
    </row>
    <row r="89" spans="2:12">
      <c r="B89" s="59" t="str">
        <f>IFERROR(INDEX(tblCustomers[Customer],5)&amp;"","")</f>
        <v>Pinecrest Medical</v>
      </c>
      <c r="C89" s="38">
        <f>IF($B$89="","",COUNTIFS(tblOrders[Customer],$B$89,tblOrders[View ship],"&gt;0"))</f>
        <v>7</v>
      </c>
      <c r="D89" s="39">
        <f>IF($B$89="","",IF(($C$89)=0,"",(COUNTIFS(tblOrders[Customer],$B$89,tblOrders[View ship],"&gt;0",tblOrders[On time],"Yes"))/($C$89)))</f>
        <v>0.857142857142857</v>
      </c>
      <c r="E89" s="58">
        <f>IF($B$89="","",SUMIFS(tblOrders[Est hours],tblOrders[Customer],$B$89,tblOrders[View ship],"&gt;0"))</f>
        <v>107</v>
      </c>
      <c r="F89" s="58">
        <f>IF($B$89="","",SUMIFS(tblOrders[Actual hours],tblOrders[Customer],$B$89,tblOrders[View ship],"&gt;0"))</f>
        <v>115.75</v>
      </c>
      <c r="G89" s="60">
        <f>IF($B$89="","",IF($E$89=0,"",$F$89/$E$89-1))</f>
        <v>0.0817757009345794</v>
      </c>
      <c r="H89" s="39">
        <f>IF($B$89="","",IF((SUMIFS(tblOrders[Order value],tblOrders[Customer],$B$89,tblOrders[View ship],"&gt;0"))=0,"",(SUMIFS(tblOrders[Order value],tblOrders[Customer],$B$89,tblOrders[View ship],"&gt;0")-SUMIFS(tblOrders[Actual cost],tblOrders[Customer],$B$89,tblOrders[View ship],"&gt;0"))/(SUMIFS(tblOrders[Order value],tblOrders[Customer],$B$89,tblOrders[View ship],"&gt;0"))))</f>
        <v>0.232136391068196</v>
      </c>
      <c r="I89" s="57">
        <f>TargetMargin</f>
        <v>0.25</v>
      </c>
      <c r="J89" s="38">
        <f>IF($B$89="","",COUNTIFS(tblOrders[Customer],$B$89,tblOrders[View open],"&gt;0"))</f>
        <v>3</v>
      </c>
      <c r="K89" s="38">
        <f>IF($B$89="","",COUNTIFS(tblOrders[Customer],$B$89,tblOrders[View open],"&gt;0",tblOrders[Status],"Overdue"))</f>
        <v>0</v>
      </c>
      <c r="L89" s="38">
        <f>IF($B$89="","",SUMIFS(tblOrders[Order value],tblOrders[Customer],$B$89,tblOrders[View open],"&gt;0"))</f>
        <v>11610</v>
      </c>
    </row>
    <row r="90" spans="2:12">
      <c r="B90" s="59" t="str">
        <f>IFERROR(INDEX(tblCustomers[Customer],6)&amp;"","")</f>
        <v>Trent Robotics</v>
      </c>
      <c r="C90" s="38">
        <f>IF($B$90="","",COUNTIFS(tblOrders[Customer],$B$90,tblOrders[View ship],"&gt;0"))</f>
        <v>7</v>
      </c>
      <c r="D90" s="39">
        <f>IF($B$90="","",IF(($C$90)=0,"",(COUNTIFS(tblOrders[Customer],$B$90,tblOrders[View ship],"&gt;0",tblOrders[On time],"Yes"))/($C$90)))</f>
        <v>0.571428571428571</v>
      </c>
      <c r="E90" s="58">
        <f>IF($B$90="","",SUMIFS(tblOrders[Est hours],tblOrders[Customer],$B$90,tblOrders[View ship],"&gt;0"))</f>
        <v>110.5</v>
      </c>
      <c r="F90" s="58">
        <f>IF($B$90="","",SUMIFS(tblOrders[Actual hours],tblOrders[Customer],$B$90,tblOrders[View ship],"&gt;0"))</f>
        <v>130.25</v>
      </c>
      <c r="G90" s="60">
        <f>IF($B$90="","",IF($E$90=0,"",$F$90/$E$90-1))</f>
        <v>0.178733031674208</v>
      </c>
      <c r="H90" s="39">
        <f>IF($B$90="","",IF((SUMIFS(tblOrders[Order value],tblOrders[Customer],$B$90,tblOrders[View ship],"&gt;0"))=0,"",(SUMIFS(tblOrders[Order value],tblOrders[Customer],$B$90,tblOrders[View ship],"&gt;0")-SUMIFS(tblOrders[Actual cost],tblOrders[Customer],$B$90,tblOrders[View ship],"&gt;0"))/(SUMIFS(tblOrders[Order value],tblOrders[Customer],$B$90,tblOrders[View ship],"&gt;0"))))</f>
        <v>0.169455943228859</v>
      </c>
      <c r="I90" s="57">
        <f>TargetMargin</f>
        <v>0.25</v>
      </c>
      <c r="J90" s="38">
        <f>IF($B$90="","",COUNTIFS(tblOrders[Customer],$B$90,tblOrders[View open],"&gt;0"))</f>
        <v>1</v>
      </c>
      <c r="K90" s="38">
        <f>IF($B$90="","",COUNTIFS(tblOrders[Customer],$B$90,tblOrders[View open],"&gt;0",tblOrders[Status],"Overdue"))</f>
        <v>0</v>
      </c>
      <c r="L90" s="38">
        <f>IF($B$90="","",SUMIFS(tblOrders[Order value],tblOrders[Customer],$B$90,tblOrders[View open],"&gt;0"))</f>
        <v>1540</v>
      </c>
    </row>
    <row r="91" spans="2:12" ht="8" customHeight="1"/>
    <row r="92" spans="2:12">
      <c r="B92" s="21" t="s">
        <v>320</v>
      </c>
      <c r="C92" s="21"/>
      <c r="D92" s="21"/>
      <c r="E92" s="21"/>
      <c r="F92" s="21"/>
      <c r="G92" s="21"/>
      <c r="H92" s="21"/>
      <c r="I92" s="21"/>
      <c r="J92" s="21"/>
      <c r="K92" s="21"/>
      <c r="L92" s="21"/>
    </row>
    <row r="93" spans="2:12">
      <c r="B93" s="61">
        <f>IF(OR(COUNTA(tblCustomers[Customer])&gt;6,COUNTA(tblStages[Stage])&gt;8),"Setup lists are longer than the Dashboard blocks: some customers or stages are not shown.","")</f>
        <v/>
      </c>
      <c r="C93" s="61"/>
      <c r="D93" s="61"/>
      <c r="E93" s="61"/>
      <c r="F93" s="61"/>
      <c r="G93" s="61"/>
      <c r="H93" s="61"/>
      <c r="I93" s="61"/>
      <c r="J93" s="61"/>
      <c r="K93" s="61"/>
      <c r="L93" s="61"/>
    </row>
  </sheetData>
  <sheetProtection sheet="1" formatColumns="0" formatRows="0"/>
  <mergeCells count="80">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36:C36"/>
    <mergeCell ref="B37:C38"/>
    <mergeCell ref="B39:C39"/>
    <mergeCell ref="B40:C40"/>
    <mergeCell ref="D36:F36"/>
    <mergeCell ref="D37:F38"/>
    <mergeCell ref="D39:F39"/>
    <mergeCell ref="D40:F40"/>
    <mergeCell ref="G36:I36"/>
    <mergeCell ref="G37:I38"/>
    <mergeCell ref="G39:I39"/>
    <mergeCell ref="G40:I40"/>
    <mergeCell ref="J36:L36"/>
    <mergeCell ref="J37:L38"/>
    <mergeCell ref="J39:L39"/>
    <mergeCell ref="J40:L40"/>
    <mergeCell ref="B58:K58"/>
    <mergeCell ref="G59:H59"/>
    <mergeCell ref="G60:H60"/>
    <mergeCell ref="G61:H61"/>
    <mergeCell ref="G62:H62"/>
    <mergeCell ref="G63:H63"/>
    <mergeCell ref="G64:H64"/>
    <mergeCell ref="G65:H65"/>
    <mergeCell ref="G66:H66"/>
    <mergeCell ref="G67:H67"/>
    <mergeCell ref="G68:H68"/>
    <mergeCell ref="B70:K70"/>
    <mergeCell ref="G71:H71"/>
    <mergeCell ref="G72:H72"/>
    <mergeCell ref="G73:H73"/>
    <mergeCell ref="G74:H74"/>
    <mergeCell ref="G75:H75"/>
    <mergeCell ref="G76:H76"/>
    <mergeCell ref="G77:H77"/>
    <mergeCell ref="G78:H78"/>
    <mergeCell ref="G79:H79"/>
    <mergeCell ref="G80:H80"/>
    <mergeCell ref="B82:L82"/>
    <mergeCell ref="B92:L92"/>
    <mergeCell ref="B93:L93"/>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B3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85:D90">
    <cfRule type="expression" dxfId="3" priority="64" stopIfTrue="1">
      <formula>AND(ISNUMBER(D85),D85&gt;=(TargetOTD))</formula>
    </cfRule>
    <cfRule type="expression" dxfId="4" priority="65" stopIfTrue="1">
      <formula>AND(ISNUMBER(D85),D85&gt;=(TargetOTD)*(1-0.05))</formula>
    </cfRule>
    <cfRule type="expression" dxfId="5" priority="66">
      <formula>ISNUMBER(D85)</formula>
    </cfRule>
  </conditionalFormatting>
  <conditionalFormatting sqref="E61:E68">
    <cfRule type="expression" dxfId="3" priority="61" stopIfTrue="1">
      <formula>AND(ISNUMBER(E61),E61&gt;=(TargetOTD))</formula>
    </cfRule>
    <cfRule type="expression" dxfId="4" priority="62" stopIfTrue="1">
      <formula>AND(ISNUMBER(E61),E61&gt;=(TargetOTD)*(1-0.05))</formula>
    </cfRule>
    <cfRule type="expression" dxfId="5" priority="63">
      <formula>ISNUMBER(E61)</formula>
    </cfRule>
  </conditionalFormatting>
  <conditionalFormatting sqref="G34">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85:G90">
    <cfRule type="expression" dxfId="3" priority="67" stopIfTrue="1">
      <formula>AND(ISNUMBER(G85),G85&lt;=(HoursTol))</formula>
    </cfRule>
    <cfRule type="expression" dxfId="4" priority="68" stopIfTrue="1">
      <formula>AND(ISNUMBER(G85),G85&lt;=(HoursTol)*(1+0.05))</formula>
    </cfRule>
    <cfRule type="expression" dxfId="5" priority="69">
      <formula>ISNUMBER(G85)</formula>
    </cfRule>
  </conditionalFormatting>
  <conditionalFormatting sqref="H85:H90">
    <cfRule type="expression" dxfId="3" priority="70" stopIfTrue="1">
      <formula>AND(ISNUMBER(H85),H85&gt;=(TargetMargin))</formula>
    </cfRule>
    <cfRule type="expression" dxfId="4" priority="71" stopIfTrue="1">
      <formula>AND(ISNUMBER(H85),H85&gt;=(TargetMargin)*(1-0.05))</formula>
    </cfRule>
    <cfRule type="expression" dxfId="5" priority="72">
      <formula>ISNUMBER(H85)</formula>
    </cfRule>
  </conditionalFormatting>
  <dataValidations count="3">
    <dataValidation type="list" allowBlank="1" showInputMessage="1" showErrorMessage="1" errorTitle="Check this entry" error="Pick from the list (edit the list on Setup: Customers)." promptTitle="Customer" prompt="Leave blank for all customers. Pick from the list (edit the list on Setup: Customers)." sqref="C4">
      <formula1>Customers</formula1>
    </dataValidation>
    <dataValidation type="date" allowBlank="1" showInputMessage="1" showErrorMessage="1" errorTitle="Check this entry" error="Enter a date between 01 Jan 2000 and 31 Dec 2100." promptTitle="Shipped from" prompt="First ship date to include for shipped jobs.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Shipped to" prompt="Last ship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Job Shop Work Order Tracker&amp;R&amp;8&amp;A</oddHeader>
    <oddFooter>&amp;L&amp;8mfgcalcs.com - free manufacturing templates&amp;R&amp;8Page &amp;P of &amp;N</oddFooter>
  </headerFooter>
  <rowBreaks count="3" manualBreakCount="3">
    <brk id="29" max="16383" man="1"/>
    <brk id="57" max="16383" man="1"/>
    <brk id="81"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321</v>
      </c>
      <c r="C4" s="8"/>
      <c r="D4" s="8"/>
    </row>
    <row r="5" spans="1:4" ht="5" customHeight="1"/>
    <row r="6" spans="1:4" ht="55.8" customHeight="1">
      <c r="B6" s="10" t="s">
        <v>322</v>
      </c>
      <c r="C6" s="10"/>
      <c r="D6" s="10"/>
    </row>
    <row r="8" spans="1:4" ht="21" customHeight="1">
      <c r="B8" s="8" t="s">
        <v>323</v>
      </c>
      <c r="C8" s="8"/>
      <c r="D8" s="8"/>
    </row>
    <row r="9" spans="1:4" ht="5" customHeight="1"/>
    <row r="10" spans="1:4" ht="20" customHeight="1">
      <c r="B10" s="55" t="s">
        <v>324</v>
      </c>
      <c r="C10" s="55" t="s">
        <v>325</v>
      </c>
      <c r="D10" s="34" t="s">
        <v>326</v>
      </c>
    </row>
    <row r="11" spans="1:4" ht="30.4" customHeight="1">
      <c r="B11" s="62" t="s">
        <v>327</v>
      </c>
      <c r="C11" s="63" t="s">
        <v>328</v>
      </c>
      <c r="D11" s="64" t="s">
        <v>329</v>
      </c>
    </row>
    <row r="12" spans="1:4" ht="17.2" customHeight="1">
      <c r="B12" s="62" t="s">
        <v>130</v>
      </c>
      <c r="C12" s="63" t="s">
        <v>330</v>
      </c>
      <c r="D12" s="64" t="s">
        <v>329</v>
      </c>
    </row>
    <row r="13" spans="1:4" ht="30.4" customHeight="1">
      <c r="B13" s="62" t="s">
        <v>131</v>
      </c>
      <c r="C13" s="63" t="s">
        <v>331</v>
      </c>
      <c r="D13" s="64" t="s">
        <v>329</v>
      </c>
    </row>
    <row r="14" spans="1:4" ht="30.4" customHeight="1">
      <c r="B14" s="62" t="s">
        <v>332</v>
      </c>
      <c r="C14" s="63" t="s">
        <v>333</v>
      </c>
      <c r="D14" s="64" t="s">
        <v>329</v>
      </c>
    </row>
    <row r="15" spans="1:4" ht="30.4" customHeight="1">
      <c r="B15" s="62" t="s">
        <v>132</v>
      </c>
      <c r="C15" s="63" t="s">
        <v>334</v>
      </c>
      <c r="D15" s="64" t="s">
        <v>335</v>
      </c>
    </row>
    <row r="16" spans="1:4" ht="30.4" customHeight="1">
      <c r="B16" s="62" t="s">
        <v>133</v>
      </c>
      <c r="C16" s="63" t="s">
        <v>336</v>
      </c>
      <c r="D16" s="64" t="s">
        <v>335</v>
      </c>
    </row>
    <row r="17" spans="2:4" ht="17.2" customHeight="1">
      <c r="B17" s="62" t="s">
        <v>134</v>
      </c>
      <c r="C17" s="63" t="s">
        <v>337</v>
      </c>
      <c r="D17" s="64" t="s">
        <v>76</v>
      </c>
    </row>
    <row r="18" spans="2:4" ht="17.2" customHeight="1">
      <c r="B18" s="62" t="s">
        <v>135</v>
      </c>
      <c r="C18" s="63" t="s">
        <v>338</v>
      </c>
      <c r="D18" s="64" t="s">
        <v>76</v>
      </c>
    </row>
    <row r="19" spans="2:4" ht="30.4" customHeight="1">
      <c r="B19" s="62" t="s">
        <v>136</v>
      </c>
      <c r="C19" s="63" t="s">
        <v>339</v>
      </c>
      <c r="D19" s="64" t="s">
        <v>340</v>
      </c>
    </row>
    <row r="20" spans="2:4" ht="30.4" customHeight="1">
      <c r="B20" s="62" t="s">
        <v>307</v>
      </c>
      <c r="C20" s="63" t="s">
        <v>341</v>
      </c>
      <c r="D20" s="64" t="s">
        <v>335</v>
      </c>
    </row>
    <row r="21" spans="2:4" ht="17.2" customHeight="1">
      <c r="B21" s="62" t="s">
        <v>342</v>
      </c>
      <c r="C21" s="63" t="s">
        <v>343</v>
      </c>
      <c r="D21" s="64" t="s">
        <v>329</v>
      </c>
    </row>
    <row r="22" spans="2:4" ht="30.4" customHeight="1">
      <c r="B22" s="62" t="s">
        <v>344</v>
      </c>
      <c r="C22" s="63" t="s">
        <v>345</v>
      </c>
      <c r="D22" s="64" t="s">
        <v>340</v>
      </c>
    </row>
    <row r="24" spans="2:4" ht="21" customHeight="1">
      <c r="B24" s="8" t="s">
        <v>346</v>
      </c>
      <c r="C24" s="8"/>
      <c r="D24" s="8"/>
    </row>
    <row r="25" spans="2:4" ht="5" customHeight="1"/>
    <row r="26" spans="2:4" ht="29.4" customHeight="1">
      <c r="B26" s="26" t="s">
        <v>55</v>
      </c>
      <c r="C26" s="10" t="s">
        <v>347</v>
      </c>
      <c r="D26" s="10"/>
    </row>
    <row r="27" spans="2:4" ht="29.4" customHeight="1">
      <c r="B27" s="26" t="s">
        <v>55</v>
      </c>
      <c r="C27" s="10" t="s">
        <v>348</v>
      </c>
      <c r="D27" s="10"/>
    </row>
    <row r="28" spans="2:4" ht="16.2" customHeight="1">
      <c r="B28" s="26" t="s">
        <v>55</v>
      </c>
      <c r="C28" s="10" t="s">
        <v>349</v>
      </c>
      <c r="D28" s="10"/>
    </row>
    <row r="29" spans="2:4" ht="16.2" customHeight="1">
      <c r="B29" s="26" t="s">
        <v>55</v>
      </c>
      <c r="C29" s="10" t="s">
        <v>350</v>
      </c>
      <c r="D29" s="10"/>
    </row>
    <row r="31" spans="2:4" ht="21" customHeight="1">
      <c r="B31" s="8" t="s">
        <v>351</v>
      </c>
      <c r="C31" s="8"/>
      <c r="D31" s="8"/>
    </row>
    <row r="32" spans="2:4" ht="5" customHeight="1"/>
    <row r="33" spans="2:4" ht="16.2" customHeight="1">
      <c r="B33" s="26" t="s">
        <v>55</v>
      </c>
      <c r="C33" s="10" t="s">
        <v>352</v>
      </c>
      <c r="D33" s="10"/>
    </row>
    <row r="34" spans="2:4" ht="29.4" customHeight="1">
      <c r="B34" s="26" t="s">
        <v>55</v>
      </c>
      <c r="C34" s="10" t="s">
        <v>353</v>
      </c>
      <c r="D34" s="10"/>
    </row>
    <row r="35" spans="2:4" ht="29.4" customHeight="1">
      <c r="B35" s="26" t="s">
        <v>55</v>
      </c>
      <c r="C35" s="10" t="s">
        <v>354</v>
      </c>
      <c r="D35" s="10"/>
    </row>
    <row r="36" spans="2:4" ht="16.2" customHeight="1">
      <c r="B36" s="26" t="s">
        <v>55</v>
      </c>
      <c r="C36" s="10" t="s">
        <v>355</v>
      </c>
      <c r="D36" s="10"/>
    </row>
    <row r="38" spans="2:4" ht="21" customHeight="1">
      <c r="B38" s="8" t="s">
        <v>356</v>
      </c>
      <c r="C38" s="8"/>
      <c r="D38" s="8"/>
    </row>
    <row r="39" spans="2:4" ht="5" customHeight="1"/>
    <row r="40" spans="2:4" ht="69" customHeight="1">
      <c r="B40" s="10" t="s">
        <v>357</v>
      </c>
      <c r="C40" s="10"/>
      <c r="D40" s="10"/>
    </row>
    <row r="41" spans="2:4">
      <c r="B41" s="24" t="s">
        <v>358</v>
      </c>
      <c r="C41" s="24"/>
      <c r="D41" s="24"/>
    </row>
    <row r="43" spans="2:4" ht="21" customHeight="1">
      <c r="B43" s="8" t="s">
        <v>42</v>
      </c>
      <c r="C43" s="8"/>
      <c r="D43" s="8"/>
    </row>
    <row r="44" spans="2:4" ht="5" customHeight="1"/>
    <row r="45" spans="2:4" ht="42.6" customHeight="1">
      <c r="B45" s="10" t="s">
        <v>359</v>
      </c>
      <c r="C45" s="10"/>
      <c r="D45" s="10"/>
    </row>
    <row r="47" spans="2:4" ht="21" customHeight="1">
      <c r="B47" s="8" t="s">
        <v>360</v>
      </c>
      <c r="C47" s="8"/>
      <c r="D47" s="8"/>
    </row>
    <row r="48" spans="2:4" ht="5" customHeight="1"/>
    <row r="49" spans="2:4" ht="16.2" customHeight="1">
      <c r="B49" s="26" t="s">
        <v>55</v>
      </c>
      <c r="C49" s="10" t="s">
        <v>361</v>
      </c>
      <c r="D49" s="10"/>
    </row>
    <row r="50" spans="2:4" ht="29.4" customHeight="1">
      <c r="B50" s="26" t="s">
        <v>55</v>
      </c>
      <c r="C50" s="10" t="s">
        <v>362</v>
      </c>
      <c r="D50" s="10"/>
    </row>
    <row r="51" spans="2:4" ht="16.2" customHeight="1">
      <c r="B51" s="26" t="s">
        <v>55</v>
      </c>
      <c r="C51" s="10" t="s">
        <v>363</v>
      </c>
      <c r="D51" s="10"/>
    </row>
    <row r="52" spans="2:4">
      <c r="B52" s="21" t="s">
        <v>364</v>
      </c>
      <c r="C52" s="21"/>
      <c r="D52" s="21"/>
    </row>
    <row r="54" spans="2:4" ht="21" customHeight="1">
      <c r="B54" s="8" t="s">
        <v>365</v>
      </c>
      <c r="C54" s="8"/>
      <c r="D54" s="8"/>
    </row>
    <row r="55" spans="2:4" ht="5" customHeight="1"/>
    <row r="56" spans="2:4">
      <c r="B56" s="55" t="s">
        <v>50</v>
      </c>
      <c r="C56" s="55" t="s">
        <v>366</v>
      </c>
      <c r="D56" s="34" t="s">
        <v>367</v>
      </c>
    </row>
    <row r="57" spans="2:4" ht="16.2" customHeight="1">
      <c r="B57" s="65" t="s">
        <v>368</v>
      </c>
      <c r="C57" s="66" t="s">
        <v>369</v>
      </c>
      <c r="D57" s="67" t="s">
        <v>370</v>
      </c>
    </row>
    <row r="59" spans="2:4">
      <c r="B59" s="21" t="s">
        <v>61</v>
      </c>
      <c r="C59" s="21"/>
      <c r="D59" s="21"/>
    </row>
  </sheetData>
  <sheetProtection sheet="1" formatColumns="0" formatRows="0"/>
  <mergeCells count="27">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Job Shop Work Order Tracker&amp;R&amp;8&amp;A</oddHeader>
    <oddFooter>&amp;L&amp;8mfgcalcs.com - free manufacturing templates&amp;R&amp;8Page &amp;P of &amp;N</oddFooter>
  </headerFooter>
  <rowBreaks count="1" manualBreakCount="1">
    <brk id="29"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Z57"/>
  <sheetViews>
    <sheetView showGridLines="0" workbookViewId="0"/>
  </sheetViews>
  <sheetFormatPr defaultRowHeight="15"/>
  <cols>
    <col min="1" max="1" width="2.7109375" customWidth="1"/>
    <col min="2" max="19" width="12.7109375" customWidth="1"/>
    <col min="20" max="20" width="7.28515625" customWidth="1"/>
    <col min="21" max="21" width="7.7109375" customWidth="1"/>
    <col min="22" max="22" width="11.28515625" customWidth="1"/>
    <col min="23" max="23" width="7.7109375" customWidth="1"/>
    <col min="24" max="25" width="12.28515625" customWidth="1"/>
    <col min="26" max="26" width="24.7109375" customWidth="1"/>
  </cols>
  <sheetData>
    <row r="1" spans="1:26" ht="30"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21" customHeight="1">
      <c r="B2" s="2" t="s">
        <v>28</v>
      </c>
      <c r="C2" s="2"/>
      <c r="D2" s="2"/>
      <c r="E2" s="2"/>
      <c r="F2" s="2"/>
      <c r="G2" s="2"/>
      <c r="H2" s="2"/>
      <c r="I2" s="2"/>
      <c r="J2" s="2"/>
      <c r="K2" s="2"/>
      <c r="L2" s="2"/>
      <c r="M2" s="2"/>
      <c r="N2" s="2"/>
      <c r="O2" s="2"/>
      <c r="P2" s="2"/>
      <c r="Q2" s="2"/>
      <c r="R2" s="2"/>
      <c r="S2" s="2"/>
      <c r="T2" s="2"/>
      <c r="U2" s="2"/>
      <c r="V2" s="2"/>
      <c r="W2" s="2"/>
      <c r="X2" s="2"/>
      <c r="Y2" s="2"/>
      <c r="Z2" s="3" t="s">
        <v>2</v>
      </c>
    </row>
    <row r="3" spans="1:26" ht="6" customHeight="1"/>
    <row r="4" spans="1:26" ht="30" customHeight="1">
      <c r="B4" s="68" t="s">
        <v>371</v>
      </c>
      <c r="C4" s="68"/>
      <c r="D4" s="22" t="str">
        <f>IF(COUNTIF($K$11:$K$29,"PASS")=19,"PASS","FAIL")</f>
        <v>PASS</v>
      </c>
      <c r="E4" s="22"/>
      <c r="F4" s="23" t="str">
        <f>COUNTIF($K$11:$K$29,"PASS")&amp;" of 19 checks pass"</f>
        <v>19 of 19 checks pass</v>
      </c>
      <c r="G4" s="23"/>
      <c r="H4" s="23"/>
      <c r="I4" s="23"/>
      <c r="J4" s="23"/>
    </row>
    <row r="6" spans="1:26" ht="29.4" customHeight="1">
      <c r="B6" s="10" t="s">
        <v>372</v>
      </c>
      <c r="C6" s="10"/>
      <c r="D6" s="10"/>
      <c r="E6" s="10"/>
      <c r="F6" s="10"/>
      <c r="G6" s="10"/>
      <c r="H6" s="10"/>
      <c r="I6" s="10"/>
      <c r="J6" s="10"/>
      <c r="K6" s="10"/>
      <c r="L6" s="10"/>
    </row>
    <row r="8" spans="1:26" ht="21" customHeight="1">
      <c r="B8" s="8" t="s">
        <v>373</v>
      </c>
      <c r="C8" s="8"/>
      <c r="D8" s="8"/>
      <c r="E8" s="8"/>
      <c r="F8" s="8"/>
      <c r="G8" s="8"/>
      <c r="H8" s="8"/>
      <c r="I8" s="8"/>
      <c r="J8" s="8"/>
      <c r="K8" s="8"/>
      <c r="L8" s="8"/>
    </row>
    <row r="9" spans="1:26" ht="5" customHeight="1"/>
    <row r="10" spans="1:26" ht="30" customHeight="1">
      <c r="B10" s="34" t="s">
        <v>374</v>
      </c>
      <c r="C10" s="55" t="s">
        <v>140</v>
      </c>
      <c r="D10" s="55"/>
      <c r="E10" s="55"/>
      <c r="F10" s="55"/>
      <c r="G10" s="34" t="s">
        <v>375</v>
      </c>
      <c r="H10" s="34" t="s">
        <v>376</v>
      </c>
      <c r="I10" s="34" t="s">
        <v>377</v>
      </c>
      <c r="J10" s="34" t="s">
        <v>378</v>
      </c>
      <c r="K10" s="34" t="s">
        <v>379</v>
      </c>
    </row>
    <row r="11" spans="1:26" ht="16.2" customHeight="1">
      <c r="B11" s="69">
        <v>1</v>
      </c>
      <c r="C11" s="66" t="s">
        <v>380</v>
      </c>
      <c r="D11" s="66"/>
      <c r="E11" s="66"/>
      <c r="F11" s="66"/>
      <c r="G11" s="70">
        <v>5840</v>
      </c>
      <c r="H11" s="71">
        <f>$O$52</f>
        <v>5840</v>
      </c>
      <c r="I11" s="72">
        <f>IF(AND(ISNUMBER($G$11),ISNUMBER($H$11)),ABS($H$11-$G$11),"")</f>
        <v>0</v>
      </c>
      <c r="J11" s="73">
        <v>1E-09</v>
      </c>
      <c r="K11" s="41" t="str">
        <f>IF(AND(ISNUMBER($G$11),ISNUMBER($H$11)),IF(ABS($H$11-$G$11)&lt;=$J$11,"PASS","FAIL"),"FAIL")</f>
        <v>PASS</v>
      </c>
    </row>
    <row r="12" spans="1:26" ht="16.2" customHeight="1">
      <c r="B12" s="69">
        <v>2</v>
      </c>
      <c r="C12" s="66" t="s">
        <v>381</v>
      </c>
      <c r="D12" s="66"/>
      <c r="E12" s="66"/>
      <c r="F12" s="66"/>
      <c r="G12" s="70">
        <v>6763</v>
      </c>
      <c r="H12" s="71">
        <f>$P$52</f>
        <v>6763</v>
      </c>
      <c r="I12" s="72">
        <f>IF(AND(ISNUMBER($G$12),ISNUMBER($H$12)),ABS($H$12-$G$12),"")</f>
        <v>0</v>
      </c>
      <c r="J12" s="73">
        <v>1E-09</v>
      </c>
      <c r="K12" s="41" t="str">
        <f>IF(AND(ISNUMBER($G$12),ISNUMBER($H$12)),IF(ABS($H$12-$G$12)&lt;=$J$12,"PASS","FAIL"),"FAIL")</f>
        <v>PASS</v>
      </c>
    </row>
    <row r="13" spans="1:26" ht="16.2" customHeight="1">
      <c r="B13" s="69">
        <v>3</v>
      </c>
      <c r="C13" s="66" t="s">
        <v>382</v>
      </c>
      <c r="D13" s="66"/>
      <c r="E13" s="66"/>
      <c r="F13" s="66"/>
      <c r="G13" s="70">
        <v>923</v>
      </c>
      <c r="H13" s="71">
        <f>$Q$52</f>
        <v>923</v>
      </c>
      <c r="I13" s="72">
        <f>IF(AND(ISNUMBER($G$13),ISNUMBER($H$13)),ABS($H$13-$G$13),"")</f>
        <v>0</v>
      </c>
      <c r="J13" s="73">
        <v>1E-09</v>
      </c>
      <c r="K13" s="41" t="str">
        <f>IF(AND(ISNUMBER($G$13),ISNUMBER($H$13)),IF(ABS($H$13-$G$13)&lt;=$J$13,"PASS","FAIL"),"FAIL")</f>
        <v>PASS</v>
      </c>
    </row>
    <row r="14" spans="1:26" ht="16.2" customHeight="1">
      <c r="B14" s="69">
        <v>4</v>
      </c>
      <c r="C14" s="66" t="s">
        <v>383</v>
      </c>
      <c r="D14" s="66"/>
      <c r="E14" s="66"/>
      <c r="F14" s="66"/>
      <c r="G14" s="57">
        <v>0.132948717948718</v>
      </c>
      <c r="H14" s="39">
        <f>$R$52</f>
        <v>0.132948717948718</v>
      </c>
      <c r="I14" s="72">
        <f>IF(AND(ISNUMBER($G$14),ISNUMBER($H$14)),ABS($H$14-$G$14),"")</f>
        <v>0</v>
      </c>
      <c r="J14" s="73">
        <v>1E-09</v>
      </c>
      <c r="K14" s="41" t="str">
        <f>IF(AND(ISNUMBER($G$14),ISNUMBER($H$14)),IF(ABS($H$14-$G$14)&lt;=$J$14,"PASS","FAIL"),"FAIL")</f>
        <v>PASS</v>
      </c>
    </row>
    <row r="15" spans="1:26" ht="16.2" customHeight="1">
      <c r="B15" s="69">
        <v>5</v>
      </c>
      <c r="C15" s="66" t="s">
        <v>384</v>
      </c>
      <c r="D15" s="66"/>
      <c r="E15" s="66"/>
      <c r="F15" s="66"/>
      <c r="G15" s="74">
        <v>4</v>
      </c>
      <c r="H15" s="38">
        <f>$T$52</f>
        <v>4</v>
      </c>
      <c r="I15" s="72">
        <f>IF(AND(ISNUMBER($G$15),ISNUMBER($H$15)),ABS($H$15-$G$15),"")</f>
        <v>0</v>
      </c>
      <c r="J15" s="73">
        <v>1E-09</v>
      </c>
      <c r="K15" s="41" t="str">
        <f>IF(AND(ISNUMBER($G$15),ISNUMBER($H$15)),IF(ABS($H$15-$G$15)&lt;=$J$15,"PASS","FAIL"),"FAIL")</f>
        <v>PASS</v>
      </c>
    </row>
    <row r="16" spans="1:26" ht="16.2" customHeight="1">
      <c r="B16" s="69">
        <v>6</v>
      </c>
      <c r="C16" s="66" t="s">
        <v>385</v>
      </c>
      <c r="D16" s="66"/>
      <c r="E16" s="66"/>
      <c r="F16" s="66"/>
      <c r="G16" s="65" t="s">
        <v>386</v>
      </c>
      <c r="H16" s="75" t="str">
        <f>$W$52</f>
        <v>No</v>
      </c>
      <c r="I16" s="75"/>
      <c r="J16" s="67" t="s">
        <v>387</v>
      </c>
      <c r="K16" s="41" t="str">
        <f>IF($H$16&amp;""=$G$16&amp;"","PASS","FAIL")</f>
        <v>PASS</v>
      </c>
    </row>
    <row r="17" spans="2:12" ht="16.2" customHeight="1">
      <c r="B17" s="69">
        <v>7</v>
      </c>
      <c r="C17" s="66" t="s">
        <v>388</v>
      </c>
      <c r="D17" s="66"/>
      <c r="E17" s="66"/>
      <c r="F17" s="66"/>
      <c r="G17" s="65" t="s">
        <v>389</v>
      </c>
      <c r="H17" s="75" t="str">
        <f>$W$53</f>
        <v>Yes</v>
      </c>
      <c r="I17" s="75"/>
      <c r="J17" s="67" t="s">
        <v>387</v>
      </c>
      <c r="K17" s="41" t="str">
        <f>IF($H$17&amp;""=$G$17&amp;"","PASS","FAIL")</f>
        <v>PASS</v>
      </c>
    </row>
    <row r="18" spans="2:12" ht="16.2" customHeight="1">
      <c r="B18" s="69">
        <v>8</v>
      </c>
      <c r="C18" s="66" t="s">
        <v>390</v>
      </c>
      <c r="D18" s="66"/>
      <c r="E18" s="66"/>
      <c r="F18" s="66"/>
      <c r="G18" s="74">
        <v>16</v>
      </c>
      <c r="H18" s="38">
        <f>$U$53</f>
        <v>16</v>
      </c>
      <c r="I18" s="72">
        <f>IF(AND(ISNUMBER($G$18),ISNUMBER($H$18)),ABS($H$18-$G$18),"")</f>
        <v>0</v>
      </c>
      <c r="J18" s="73">
        <v>1E-09</v>
      </c>
      <c r="K18" s="41" t="str">
        <f>IF(AND(ISNUMBER($G$18),ISNUMBER($H$18)),IF(ABS($H$18-$G$18)&lt;=$J$18,"PASS","FAIL"),"FAIL")</f>
        <v>PASS</v>
      </c>
    </row>
    <row r="19" spans="2:12" ht="16.2" customHeight="1">
      <c r="B19" s="69">
        <v>9</v>
      </c>
      <c r="C19" s="66" t="s">
        <v>391</v>
      </c>
      <c r="D19" s="66"/>
      <c r="E19" s="66"/>
      <c r="F19" s="66"/>
      <c r="G19" s="65" t="s">
        <v>312</v>
      </c>
      <c r="H19" s="75" t="str">
        <f>$V$54</f>
        <v>Overdue</v>
      </c>
      <c r="I19" s="75"/>
      <c r="J19" s="67" t="s">
        <v>387</v>
      </c>
      <c r="K19" s="41" t="str">
        <f>IF($H$19&amp;""=$G$19&amp;"","PASS","FAIL")</f>
        <v>PASS</v>
      </c>
    </row>
    <row r="20" spans="2:12" ht="16.2" customHeight="1">
      <c r="B20" s="69">
        <v>10</v>
      </c>
      <c r="C20" s="66" t="s">
        <v>392</v>
      </c>
      <c r="D20" s="66"/>
      <c r="E20" s="66"/>
      <c r="F20" s="66"/>
      <c r="G20" s="74">
        <v>7</v>
      </c>
      <c r="H20" s="38">
        <f>$T$54</f>
        <v>7</v>
      </c>
      <c r="I20" s="72">
        <f>IF(AND(ISNUMBER($G$20),ISNUMBER($H$20)),ABS($H$20-$G$20),"")</f>
        <v>0</v>
      </c>
      <c r="J20" s="73">
        <v>1E-09</v>
      </c>
      <c r="K20" s="41" t="str">
        <f>IF(AND(ISNUMBER($G$20),ISNUMBER($H$20)),IF(ABS($H$20-$G$20)&lt;=$J$20,"PASS","FAIL"),"FAIL")</f>
        <v>PASS</v>
      </c>
    </row>
    <row r="21" spans="2:12" ht="16.2" customHeight="1">
      <c r="B21" s="69">
        <v>11</v>
      </c>
      <c r="C21" s="66" t="s">
        <v>393</v>
      </c>
      <c r="D21" s="66"/>
      <c r="E21" s="66"/>
      <c r="F21" s="66"/>
      <c r="G21" s="65" t="s">
        <v>313</v>
      </c>
      <c r="H21" s="75" t="str">
        <f>$V$55</f>
        <v>Due soon</v>
      </c>
      <c r="I21" s="75"/>
      <c r="J21" s="67" t="s">
        <v>387</v>
      </c>
      <c r="K21" s="41" t="str">
        <f>IF($H$21&amp;""=$G$21&amp;"","PASS","FAIL")</f>
        <v>PASS</v>
      </c>
    </row>
    <row r="22" spans="2:12" ht="16.2" customHeight="1">
      <c r="B22" s="69">
        <v>12</v>
      </c>
      <c r="C22" s="66" t="s">
        <v>394</v>
      </c>
      <c r="D22" s="66"/>
      <c r="E22" s="66"/>
      <c r="F22" s="66"/>
      <c r="G22" s="57">
        <v>0.5</v>
      </c>
      <c r="H22" s="39">
        <f>$S$55</f>
        <v>0.5</v>
      </c>
      <c r="I22" s="72">
        <f>IF(AND(ISNUMBER($G$22),ISNUMBER($H$22)),ABS($H$22-$G$22),"")</f>
        <v>0</v>
      </c>
      <c r="J22" s="73">
        <v>1E-09</v>
      </c>
      <c r="K22" s="41" t="str">
        <f>IF(AND(ISNUMBER($G$22),ISNUMBER($H$22)),IF(ABS($H$22-$G$22)&lt;=$J$22,"PASS","FAIL"),"FAIL")</f>
        <v>PASS</v>
      </c>
    </row>
    <row r="23" spans="2:12" ht="16.2" customHeight="1">
      <c r="B23" s="69">
        <v>13</v>
      </c>
      <c r="C23" s="66" t="s">
        <v>395</v>
      </c>
      <c r="D23" s="66"/>
      <c r="E23" s="66"/>
      <c r="F23" s="66"/>
      <c r="G23" s="65" t="s">
        <v>314</v>
      </c>
      <c r="H23" s="75" t="str">
        <f>$V$56</f>
        <v>In progress</v>
      </c>
      <c r="I23" s="75"/>
      <c r="J23" s="67" t="s">
        <v>387</v>
      </c>
      <c r="K23" s="41" t="str">
        <f>IF($H$23&amp;""=$G$23&amp;"","PASS","FAIL")</f>
        <v>PASS</v>
      </c>
    </row>
    <row r="24" spans="2:12" ht="16.2" customHeight="1">
      <c r="B24" s="69">
        <v>14</v>
      </c>
      <c r="C24" s="66" t="s">
        <v>396</v>
      </c>
      <c r="D24" s="66"/>
      <c r="E24" s="66"/>
      <c r="F24" s="66"/>
      <c r="G24" s="65" t="s">
        <v>397</v>
      </c>
      <c r="H24" s="75" t="str">
        <f>$Z$57</f>
        <v>Shipped before released</v>
      </c>
      <c r="I24" s="75"/>
      <c r="J24" s="67" t="s">
        <v>387</v>
      </c>
      <c r="K24" s="41" t="str">
        <f>IF($H$24&amp;""=$G$24&amp;"","PASS","FAIL")</f>
        <v>PASS</v>
      </c>
    </row>
    <row r="25" spans="2:12" ht="16.2" customHeight="1">
      <c r="B25" s="69">
        <v>15</v>
      </c>
      <c r="C25" s="66" t="s">
        <v>398</v>
      </c>
      <c r="D25" s="66"/>
      <c r="E25" s="66"/>
      <c r="F25" s="66"/>
      <c r="G25" s="57">
        <v>0.6666666666666666</v>
      </c>
      <c r="H25" s="39">
        <f>IF((COUNTIFS(tblVerifyOrders[View ship],"&gt;0"))=0,"",(COUNTIFS(tblVerifyOrders[View ship],"&gt;0",tblVerifyOrders[On time],"Yes"))/(COUNTIFS(tblVerifyOrders[View ship],"&gt;0")))</f>
        <v>0.666666666666667</v>
      </c>
      <c r="I25" s="72">
        <f>IF(AND(ISNUMBER($G$25),ISNUMBER($H$25)),ABS($H$25-$G$25),"")</f>
        <v>0</v>
      </c>
      <c r="J25" s="73">
        <v>1E-09</v>
      </c>
      <c r="K25" s="41" t="str">
        <f>IF(AND(ISNUMBER($G$25),ISNUMBER($H$25)),IF(ABS($H$25-$G$25)&lt;=$J$25,"PASS","FAIL"),"FAIL")</f>
        <v>PASS</v>
      </c>
    </row>
    <row r="26" spans="2:12" ht="16.2" customHeight="1">
      <c r="B26" s="69">
        <v>16</v>
      </c>
      <c r="C26" s="66" t="s">
        <v>399</v>
      </c>
      <c r="D26" s="66"/>
      <c r="E26" s="66"/>
      <c r="F26" s="66"/>
      <c r="G26" s="74">
        <v>1</v>
      </c>
      <c r="H26" s="38">
        <f>COUNTIFS(tblVerifyOrders[View open],"&gt;0",tblVerifyOrders[Status],"Overdue")</f>
        <v>1</v>
      </c>
      <c r="I26" s="72">
        <f>IF(AND(ISNUMBER($G$26),ISNUMBER($H$26)),ABS($H$26-$G$26),"")</f>
        <v>0</v>
      </c>
      <c r="J26" s="73">
        <v>1E-09</v>
      </c>
      <c r="K26" s="41" t="str">
        <f>IF(AND(ISNUMBER($G$26),ISNUMBER($H$26)),IF(ABS($H$26-$G$26)&lt;=$J$26,"PASS","FAIL"),"FAIL")</f>
        <v>PASS</v>
      </c>
    </row>
    <row r="27" spans="2:12" ht="16.2" customHeight="1">
      <c r="B27" s="69">
        <v>17</v>
      </c>
      <c r="C27" s="66" t="s">
        <v>400</v>
      </c>
      <c r="D27" s="66"/>
      <c r="E27" s="66"/>
      <c r="F27" s="66"/>
      <c r="G27" s="70">
        <v>755</v>
      </c>
      <c r="H27" s="71">
        <f>SUMIFS(tblVerifyOrders[Actual cost],tblVerifyOrders[View ship],"&gt;0")-SUMIFS(tblVerifyOrders[Est cost],tblVerifyOrders[View ship],"&gt;0")</f>
        <v>755</v>
      </c>
      <c r="I27" s="72">
        <f>IF(AND(ISNUMBER($G$27),ISNUMBER($H$27)),ABS($H$27-$G$27),"")</f>
        <v>0</v>
      </c>
      <c r="J27" s="73">
        <v>1E-09</v>
      </c>
      <c r="K27" s="41" t="str">
        <f>IF(AND(ISNUMBER($G$27),ISNUMBER($H$27)),IF(ABS($H$27-$G$27)&lt;=$J$27,"PASS","FAIL"),"FAIL")</f>
        <v>PASS</v>
      </c>
    </row>
    <row r="28" spans="2:12" ht="16.2" customHeight="1">
      <c r="B28" s="69">
        <v>18</v>
      </c>
      <c r="C28" s="66" t="s">
        <v>401</v>
      </c>
      <c r="D28" s="66"/>
      <c r="E28" s="66"/>
      <c r="F28" s="66"/>
      <c r="G28" s="70">
        <v>755</v>
      </c>
      <c r="H28" s="71">
        <f>((SUMIFS(tblVerifyOrders[Actual hours],tblVerifyOrders[View ship],"&gt;0")-SUMIFS(tblVerifyOrders[Est hours],tblVerifyOrders[View ship],"&gt;0"))*$E$38)+(($E$39-$E$38)*SUMIFS(tblVerifyOrders[Actual hours],tblVerifyOrders[View ship],"&gt;0"))+(SUMIFS(tblVerifyOrders[Actual material],tblVerifyOrders[View ship],"&gt;0")-SUMIFS(tblVerifyOrders[Est material],tblVerifyOrders[View ship],"&gt;0"))</f>
        <v>755</v>
      </c>
      <c r="I28" s="72">
        <f>IF(AND(ISNUMBER($G$28),ISNUMBER($H$28)),ABS($H$28-$G$28),"")</f>
        <v>0</v>
      </c>
      <c r="J28" s="73">
        <v>1E-06</v>
      </c>
      <c r="K28" s="41" t="str">
        <f>IF(AND(ISNUMBER($G$28),ISNUMBER($H$28)),IF(ABS($H$28-$G$28)&lt;=$J$28,"PASS","FAIL"),"FAIL")</f>
        <v>PASS</v>
      </c>
    </row>
    <row r="29" spans="2:12" ht="16.2" customHeight="1">
      <c r="B29" s="69">
        <v>19</v>
      </c>
      <c r="C29" s="66" t="s">
        <v>402</v>
      </c>
      <c r="D29" s="66"/>
      <c r="E29" s="66"/>
      <c r="F29" s="66"/>
      <c r="G29" s="57">
        <v>0.2269230769230769</v>
      </c>
      <c r="H29" s="39">
        <f>IF((SUMIFS(tblVerifyOrders[Order value],tblVerifyOrders[View ship],"&gt;0"))=0,"",(SUMIFS(tblVerifyOrders[Order value],tblVerifyOrders[View ship],"&gt;0")-SUMIFS(tblVerifyOrders[Actual cost],tblVerifyOrders[View ship],"&gt;0"))/(SUMIFS(tblVerifyOrders[Order value],tblVerifyOrders[View ship],"&gt;0")))</f>
        <v>0.226923076923077</v>
      </c>
      <c r="I29" s="72">
        <f>IF(AND(ISNUMBER($G$29),ISNUMBER($H$29)),ABS($H$29-$G$29),"")</f>
        <v>0</v>
      </c>
      <c r="J29" s="73">
        <v>1E-09</v>
      </c>
      <c r="K29" s="41" t="str">
        <f>IF(AND(ISNUMBER($G$29),ISNUMBER($H$29)),IF(ABS($H$29-$G$29)&lt;=$J$29,"PASS","FAIL"),"FAIL")</f>
        <v>PASS</v>
      </c>
    </row>
    <row r="31" spans="2:12" ht="21" customHeight="1">
      <c r="B31" s="8" t="s">
        <v>403</v>
      </c>
      <c r="C31" s="8"/>
      <c r="D31" s="8"/>
      <c r="E31" s="8"/>
      <c r="F31" s="8"/>
      <c r="G31" s="8"/>
      <c r="H31" s="8"/>
      <c r="I31" s="8"/>
      <c r="J31" s="8"/>
      <c r="K31" s="8"/>
      <c r="L31" s="8"/>
    </row>
    <row r="32" spans="2:12" ht="5" customHeight="1"/>
    <row r="33" spans="2:12">
      <c r="B33" s="21" t="s">
        <v>404</v>
      </c>
      <c r="C33" s="21"/>
      <c r="D33" s="21"/>
      <c r="E33" s="21"/>
      <c r="F33" s="21"/>
      <c r="G33" s="21"/>
      <c r="H33" s="21"/>
      <c r="I33" s="21"/>
      <c r="J33" s="21"/>
      <c r="K33" s="21"/>
      <c r="L33" s="21"/>
    </row>
    <row r="34" spans="2:12">
      <c r="B34" s="33" t="s">
        <v>405</v>
      </c>
      <c r="C34" s="33"/>
      <c r="D34" s="33"/>
      <c r="E34" s="33"/>
      <c r="F34" s="33"/>
    </row>
    <row r="35" spans="2:12">
      <c r="B35" s="27" t="s">
        <v>406</v>
      </c>
      <c r="C35" s="27"/>
      <c r="D35" s="27"/>
      <c r="E35" s="74">
        <v>0</v>
      </c>
      <c r="F35" s="7"/>
    </row>
    <row r="36" spans="2:12">
      <c r="B36" s="27" t="s">
        <v>407</v>
      </c>
      <c r="C36" s="27"/>
      <c r="D36" s="27"/>
      <c r="E36" s="74">
        <v>2958465</v>
      </c>
      <c r="F36" s="7"/>
    </row>
    <row r="37" spans="2:12">
      <c r="B37" s="27" t="s">
        <v>408</v>
      </c>
      <c r="C37" s="27"/>
      <c r="D37" s="27"/>
      <c r="E37" s="65" t="s">
        <v>409</v>
      </c>
      <c r="F37" s="65"/>
    </row>
    <row r="38" spans="2:12">
      <c r="B38" s="27" t="s">
        <v>72</v>
      </c>
      <c r="C38" s="27"/>
      <c r="D38" s="27"/>
      <c r="E38" s="70">
        <v>95</v>
      </c>
      <c r="F38" s="7"/>
    </row>
    <row r="39" spans="2:12">
      <c r="B39" s="27" t="s">
        <v>73</v>
      </c>
      <c r="C39" s="27"/>
      <c r="D39" s="27"/>
      <c r="E39" s="70">
        <v>98</v>
      </c>
      <c r="F39" s="7"/>
    </row>
    <row r="40" spans="2:12">
      <c r="B40" s="27" t="s">
        <v>74</v>
      </c>
      <c r="C40" s="27"/>
      <c r="D40" s="27"/>
      <c r="E40" s="76">
        <v>46304</v>
      </c>
      <c r="F40" s="7"/>
    </row>
    <row r="41" spans="2:12">
      <c r="B41" s="27" t="s">
        <v>410</v>
      </c>
      <c r="C41" s="27"/>
      <c r="D41" s="27"/>
      <c r="E41" s="74">
        <v>5</v>
      </c>
      <c r="F41" s="7"/>
    </row>
    <row r="42" spans="2:12">
      <c r="B42" s="27" t="s">
        <v>78</v>
      </c>
      <c r="C42" s="27"/>
      <c r="D42" s="27"/>
      <c r="E42" s="57">
        <v>0.25</v>
      </c>
      <c r="F42" s="7"/>
    </row>
    <row r="44" spans="2:12">
      <c r="B44" s="33" t="s">
        <v>411</v>
      </c>
      <c r="C44" s="33"/>
      <c r="D44" s="33"/>
      <c r="E44" s="33"/>
      <c r="F44" s="33"/>
      <c r="G44" s="33"/>
      <c r="H44" s="33"/>
      <c r="I44" s="33"/>
      <c r="J44" s="33"/>
      <c r="K44" s="33"/>
      <c r="L44" s="33"/>
    </row>
    <row r="45" spans="2:12" ht="20" customHeight="1">
      <c r="B45" s="34" t="s">
        <v>62</v>
      </c>
      <c r="C45" s="34" t="s">
        <v>63</v>
      </c>
      <c r="D45" s="34" t="s">
        <v>64</v>
      </c>
    </row>
    <row r="46" spans="2:12">
      <c r="B46" s="65" t="s">
        <v>412</v>
      </c>
      <c r="C46" s="65" t="s">
        <v>409</v>
      </c>
      <c r="D46" s="65" t="s">
        <v>409</v>
      </c>
    </row>
    <row r="47" spans="2:12">
      <c r="B47" s="65" t="s">
        <v>413</v>
      </c>
      <c r="C47" s="65" t="s">
        <v>409</v>
      </c>
      <c r="D47" s="65" t="s">
        <v>409</v>
      </c>
    </row>
    <row r="49" spans="2:26">
      <c r="B49" s="33" t="s">
        <v>414</v>
      </c>
      <c r="C49" s="33"/>
      <c r="D49" s="33"/>
      <c r="E49" s="33"/>
      <c r="F49" s="33"/>
      <c r="G49" s="33"/>
      <c r="H49" s="33"/>
      <c r="I49" s="33"/>
      <c r="J49" s="33"/>
      <c r="K49" s="33"/>
      <c r="L49" s="33"/>
    </row>
    <row r="50" spans="2:26" ht="14" customHeight="1">
      <c r="B50" s="36"/>
      <c r="C50" s="36"/>
      <c r="D50" s="36"/>
      <c r="E50" s="36"/>
      <c r="F50" s="36"/>
      <c r="G50" s="36"/>
      <c r="H50" s="36"/>
      <c r="I50" s="36"/>
      <c r="J50" s="36" t="str">
        <f>Currency</f>
        <v>USD</v>
      </c>
      <c r="K50" s="36" t="s">
        <v>142</v>
      </c>
      <c r="L50" s="36" t="s">
        <v>142</v>
      </c>
      <c r="M50" s="36" t="str">
        <f>Currency</f>
        <v>USD</v>
      </c>
      <c r="N50" s="36" t="str">
        <f>Currency</f>
        <v>USD</v>
      </c>
      <c r="O50" s="36" t="str">
        <f>Currency</f>
        <v>USD</v>
      </c>
      <c r="P50" s="36" t="str">
        <f>Currency</f>
        <v>USD</v>
      </c>
      <c r="Q50" s="36" t="str">
        <f>Currency</f>
        <v>USD</v>
      </c>
      <c r="R50" s="36"/>
      <c r="S50" s="36"/>
      <c r="T50" s="36" t="s">
        <v>76</v>
      </c>
      <c r="U50" s="36" t="s">
        <v>76</v>
      </c>
      <c r="V50" s="36"/>
      <c r="W50" s="36"/>
      <c r="X50" s="36"/>
      <c r="Y50" s="36"/>
      <c r="Z50" s="36"/>
    </row>
    <row r="51" spans="2:26" ht="32" customHeight="1">
      <c r="B51" s="34" t="s">
        <v>119</v>
      </c>
      <c r="C51" s="34" t="s">
        <v>62</v>
      </c>
      <c r="D51" s="34" t="s">
        <v>120</v>
      </c>
      <c r="E51" s="34" t="s">
        <v>121</v>
      </c>
      <c r="F51" s="34" t="s">
        <v>103</v>
      </c>
      <c r="G51" s="34" t="s">
        <v>122</v>
      </c>
      <c r="H51" s="34" t="s">
        <v>123</v>
      </c>
      <c r="I51" s="34" t="s">
        <v>65</v>
      </c>
      <c r="J51" s="34" t="s">
        <v>124</v>
      </c>
      <c r="K51" s="34" t="s">
        <v>125</v>
      </c>
      <c r="L51" s="34" t="s">
        <v>126</v>
      </c>
      <c r="M51" s="34" t="s">
        <v>127</v>
      </c>
      <c r="N51" s="34" t="s">
        <v>128</v>
      </c>
      <c r="O51" s="34" t="s">
        <v>129</v>
      </c>
      <c r="P51" s="34" t="s">
        <v>130</v>
      </c>
      <c r="Q51" s="34" t="s">
        <v>131</v>
      </c>
      <c r="R51" s="34" t="s">
        <v>132</v>
      </c>
      <c r="S51" s="34" t="s">
        <v>133</v>
      </c>
      <c r="T51" s="34" t="s">
        <v>134</v>
      </c>
      <c r="U51" s="34" t="s">
        <v>135</v>
      </c>
      <c r="V51" s="34" t="s">
        <v>136</v>
      </c>
      <c r="W51" s="34" t="s">
        <v>137</v>
      </c>
      <c r="X51" s="34" t="s">
        <v>138</v>
      </c>
      <c r="Y51" s="34" t="s">
        <v>139</v>
      </c>
      <c r="Z51" s="34" t="s">
        <v>140</v>
      </c>
    </row>
    <row r="52" spans="2:26">
      <c r="B52" s="65" t="s">
        <v>415</v>
      </c>
      <c r="C52" s="65" t="s">
        <v>412</v>
      </c>
      <c r="D52" s="65" t="s">
        <v>416</v>
      </c>
      <c r="E52" s="74">
        <v>10</v>
      </c>
      <c r="F52" s="76">
        <v>46237</v>
      </c>
      <c r="G52" s="76">
        <v>46255</v>
      </c>
      <c r="H52" s="76">
        <v>46259</v>
      </c>
      <c r="I52" s="65"/>
      <c r="J52" s="70">
        <v>7800</v>
      </c>
      <c r="K52" s="77">
        <v>42</v>
      </c>
      <c r="L52" s="70">
        <v>48.5</v>
      </c>
      <c r="M52" s="70">
        <v>1850</v>
      </c>
      <c r="N52" s="70">
        <v>2010</v>
      </c>
      <c r="O52" s="38">
        <f>IF(tblVerifyOrders[[#This Row],[Released]]="","",tblVerifyOrders[[#This Row],[Est hours]]*$E$38+tblVerifyOrders[[#This Row],[Est material]])</f>
        <v>5840</v>
      </c>
      <c r="P52" s="38">
        <f>IF(tblVerifyOrders[[#This Row],[Released]]="","",tblVerifyOrders[[#This Row],[Actual hours]]*$E$39+tblVerifyOrders[[#This Row],[Actual material]])</f>
        <v>6763</v>
      </c>
      <c r="Q52" s="38">
        <f>IF(tblVerifyOrders[[#This Row],[Released]]="","",IF(tblVerifyOrders[[#This Row],[Shipped]]="","",tblVerifyOrders[[#This Row],[Actual cost]]-tblVerifyOrders[[#This Row],[Est cost]]))</f>
        <v>923</v>
      </c>
      <c r="R52" s="39">
        <f>IF(tblVerifyOrders[[#This Row],[Released]]="","",IF(OR(tblVerifyOrders[[#This Row],[Shipped]]="",tblVerifyOrders[[#This Row],[Order value]]&lt;=0),"",(tblVerifyOrders[[#This Row],[Order value]]-tblVerifyOrders[[#This Row],[Actual cost]])/tblVerifyOrders[[#This Row],[Order value]]))</f>
        <v>0.132948717948718</v>
      </c>
      <c r="S52" s="40">
        <f>IF(tblVerifyOrders[[#This Row],[Released]]="","",IF(tblVerifyOrders[[#This Row],[Est hours]]&gt;0,tblVerifyOrders[[#This Row],[Actual hours]]/tblVerifyOrders[[#This Row],[Est hours]],""))</f>
        <v>1.1547619047619</v>
      </c>
      <c r="T52" s="38">
        <f>IF(tblVerifyOrders[[#This Row],[Released]]="","",MAX(0,IF(tblVerifyOrders[[#This Row],[Shipped]]="",$E$40,tblVerifyOrders[[#This Row],[Shipped]])-tblVerifyOrders[[#This Row],[Due]]))</f>
        <v>4</v>
      </c>
      <c r="U52" s="38">
        <f>IF(tblVerifyOrders[[#This Row],[Released]]="","",IF(tblVerifyOrders[[#This Row],[Shipped]]="","",tblVerifyOrders[[#This Row],[Shipped]]-tblVerifyOrders[[#This Row],[Released]]))</f>
        <v>22</v>
      </c>
      <c r="V52" s="41" t="str">
        <f>IF(tblVerifyOrders[[#This Row],[Released]]="","",IF(tblVerifyOrders[[#This Row],[Shipped]]&lt;&gt;"","Complete",IF(tblVerifyOrders[[#This Row],[Due]]="","",IF(tblVerifyOrders[[#This Row],[Due]]&lt;$E$40,"Overdue",IF(tblVerifyOrders[[#This Row],[Due]]-$E$40&lt;=$E$41,"Due soon","In progress")))))</f>
        <v>Complete</v>
      </c>
      <c r="W52" s="41" t="str">
        <f>IF(tblVerifyOrders[[#This Row],[Released]]="","",IF(OR(tblVerifyOrders[[#This Row],[Shipped]]="",tblVerifyOrders[[#This Row],[Due]]=""),"",IF(tblVerifyOrders[[#This Row],[Shipped]]&lt;=tblVerifyOrders[[#This Row],[Due]],"Yes","No")))</f>
        <v>No</v>
      </c>
      <c r="X52" s="42">
        <f>IF(tblVerifyOrders[[#This Row],[Released]]="","",IF(AND(tblVerifyOrders[[#This Row],[Shipped]]&lt;&gt;"",tblVerifyOrders[[#This Row],[Shipped]]&gt;=$E$35,tblVerifyOrders[[#This Row],[Shipped]]&lt;=$E$36,OR($E$37="",tblVerifyOrders[[#This Row],[Customer]]=$E$37)),tblVerifyOrders[[#This Row],[Shipped]],""))</f>
        <v>46259</v>
      </c>
      <c r="Y52" s="42">
        <f>IF(tblVerifyOrders[[#This Row],[Released]]="","",IF(AND(tblVerifyOrders[[#This Row],[Shipped]]="",OR($E$37="",tblVerifyOrders[[#This Row],[Customer]]=$E$37)),tblVerifyOrders[[#This Row],[Released]],""))</f>
        <v/>
      </c>
      <c r="Z52" s="43" t="str">
        <f>IF(tblVerifyOrders[[#This Row],[Released]]="","",IF(tblVerifyOrders[[#This Row],[WO No.]]="","Missing wo no.",IF(tblVerifyOrders[[#This Row],[Customer]]="","Missing customer",IF(tblVerifyOrders[[#This Row],[Due]]="","Missing due",IF(COUNTIF(tblVerifyCustomers[Customer],tblVerifyOrders[[#This Row],[Customer]])=0,"Customer not on Setup list",IF(tblVerifyOrders[[#This Row],[Due]]&lt;tblVerifyOrders[[#This Row],[Released]],"Due before released",IF(AND(tblVerifyOrders[[#This Row],[Shipped]]&lt;&gt;"",tblVerifyOrders[[#This Row],[Shipped]]&lt;tblVerifyOrders[[#This Row],[Released]]),"Shipped before released",IF(OR(tblVerifyOrders[[#This Row],[Released]]&gt;$E$40,AND(tblVerifyOrders[[#This Row],[Shipped]]&lt;&gt;"",tblVerifyOrders[[#This Row],[Shipped]]&gt;$E$40)),"Date after the status date",IF(AND(tblVerifyOrders[[#This Row],[Shipped]]="",tblVerifyOrders[[#This Row],[Stage]]=""),"Open job with no stage",IF(AND(tblVerifyOrders[[#This Row],[Shipped]]&lt;&gt;"",tblVerifyOrders[[#This Row],[Actual hours]]=0),"Shipped with no actual hours",IF(COUNTIF(tblVerifyOrders[WO No.],tblVerifyOrders[[#This Row],[WO No.]])&gt;1,"Duplicate WO No.","OK")))))))))))</f>
        <v>OK</v>
      </c>
    </row>
    <row r="53" spans="2:26">
      <c r="B53" s="65" t="s">
        <v>417</v>
      </c>
      <c r="C53" s="65" t="s">
        <v>413</v>
      </c>
      <c r="D53" s="65" t="s">
        <v>416</v>
      </c>
      <c r="E53" s="74">
        <v>10</v>
      </c>
      <c r="F53" s="76">
        <v>46244</v>
      </c>
      <c r="G53" s="76">
        <v>46262</v>
      </c>
      <c r="H53" s="76">
        <v>46260</v>
      </c>
      <c r="I53" s="65"/>
      <c r="J53" s="70">
        <v>4200</v>
      </c>
      <c r="K53" s="77">
        <v>24</v>
      </c>
      <c r="L53" s="70">
        <v>21.5</v>
      </c>
      <c r="M53" s="70">
        <v>600</v>
      </c>
      <c r="N53" s="70">
        <v>590</v>
      </c>
      <c r="O53" s="38">
        <f>IF(tblVerifyOrders[[#This Row],[Released]]="","",tblVerifyOrders[[#This Row],[Est hours]]*$E$38+tblVerifyOrders[[#This Row],[Est material]])</f>
        <v>2880</v>
      </c>
      <c r="P53" s="38">
        <f>IF(tblVerifyOrders[[#This Row],[Released]]="","",tblVerifyOrders[[#This Row],[Actual hours]]*$E$39+tblVerifyOrders[[#This Row],[Actual material]])</f>
        <v>2697</v>
      </c>
      <c r="Q53" s="38">
        <f>IF(tblVerifyOrders[[#This Row],[Released]]="","",IF(tblVerifyOrders[[#This Row],[Shipped]]="","",tblVerifyOrders[[#This Row],[Actual cost]]-tblVerifyOrders[[#This Row],[Est cost]]))</f>
        <v>-183</v>
      </c>
      <c r="R53" s="39">
        <f>IF(tblVerifyOrders[[#This Row],[Released]]="","",IF(OR(tblVerifyOrders[[#This Row],[Shipped]]="",tblVerifyOrders[[#This Row],[Order value]]&lt;=0),"",(tblVerifyOrders[[#This Row],[Order value]]-tblVerifyOrders[[#This Row],[Actual cost]])/tblVerifyOrders[[#This Row],[Order value]]))</f>
        <v>0.357857142857143</v>
      </c>
      <c r="S53" s="40">
        <f>IF(tblVerifyOrders[[#This Row],[Released]]="","",IF(tblVerifyOrders[[#This Row],[Est hours]]&gt;0,tblVerifyOrders[[#This Row],[Actual hours]]/tblVerifyOrders[[#This Row],[Est hours]],""))</f>
        <v>0.895833333333333</v>
      </c>
      <c r="T53" s="38">
        <f>IF(tblVerifyOrders[[#This Row],[Released]]="","",MAX(0,IF(tblVerifyOrders[[#This Row],[Shipped]]="",$E$40,tblVerifyOrders[[#This Row],[Shipped]])-tblVerifyOrders[[#This Row],[Due]]))</f>
        <v>0</v>
      </c>
      <c r="U53" s="38">
        <f>IF(tblVerifyOrders[[#This Row],[Released]]="","",IF(tblVerifyOrders[[#This Row],[Shipped]]="","",tblVerifyOrders[[#This Row],[Shipped]]-tblVerifyOrders[[#This Row],[Released]]))</f>
        <v>16</v>
      </c>
      <c r="V53" s="41" t="str">
        <f>IF(tblVerifyOrders[[#This Row],[Released]]="","",IF(tblVerifyOrders[[#This Row],[Shipped]]&lt;&gt;"","Complete",IF(tblVerifyOrders[[#This Row],[Due]]="","",IF(tblVerifyOrders[[#This Row],[Due]]&lt;$E$40,"Overdue",IF(tblVerifyOrders[[#This Row],[Due]]-$E$40&lt;=$E$41,"Due soon","In progress")))))</f>
        <v>Complete</v>
      </c>
      <c r="W53" s="41" t="str">
        <f>IF(tblVerifyOrders[[#This Row],[Released]]="","",IF(OR(tblVerifyOrders[[#This Row],[Shipped]]="",tblVerifyOrders[[#This Row],[Due]]=""),"",IF(tblVerifyOrders[[#This Row],[Shipped]]&lt;=tblVerifyOrders[[#This Row],[Due]],"Yes","No")))</f>
        <v>Yes</v>
      </c>
      <c r="X53" s="42">
        <f>IF(tblVerifyOrders[[#This Row],[Released]]="","",IF(AND(tblVerifyOrders[[#This Row],[Shipped]]&lt;&gt;"",tblVerifyOrders[[#This Row],[Shipped]]&gt;=$E$35,tblVerifyOrders[[#This Row],[Shipped]]&lt;=$E$36,OR($E$37="",tblVerifyOrders[[#This Row],[Customer]]=$E$37)),tblVerifyOrders[[#This Row],[Shipped]],""))</f>
        <v>46260</v>
      </c>
      <c r="Y53" s="42">
        <f>IF(tblVerifyOrders[[#This Row],[Released]]="","",IF(AND(tblVerifyOrders[[#This Row],[Shipped]]="",OR($E$37="",tblVerifyOrders[[#This Row],[Customer]]=$E$37)),tblVerifyOrders[[#This Row],[Released]],""))</f>
        <v/>
      </c>
      <c r="Z53" s="43" t="str">
        <f>IF(tblVerifyOrders[[#This Row],[Released]]="","",IF(tblVerifyOrders[[#This Row],[WO No.]]="","Missing wo no.",IF(tblVerifyOrders[[#This Row],[Customer]]="","Missing customer",IF(tblVerifyOrders[[#This Row],[Due]]="","Missing due",IF(COUNTIF(tblVerifyCustomers[Customer],tblVerifyOrders[[#This Row],[Customer]])=0,"Customer not on Setup list",IF(tblVerifyOrders[[#This Row],[Due]]&lt;tblVerifyOrders[[#This Row],[Released]],"Due before released",IF(AND(tblVerifyOrders[[#This Row],[Shipped]]&lt;&gt;"",tblVerifyOrders[[#This Row],[Shipped]]&lt;tblVerifyOrders[[#This Row],[Released]]),"Shipped before released",IF(OR(tblVerifyOrders[[#This Row],[Released]]&gt;$E$40,AND(tblVerifyOrders[[#This Row],[Shipped]]&lt;&gt;"",tblVerifyOrders[[#This Row],[Shipped]]&gt;$E$40)),"Date after the status date",IF(AND(tblVerifyOrders[[#This Row],[Shipped]]="",tblVerifyOrders[[#This Row],[Stage]]=""),"Open job with no stage",IF(AND(tblVerifyOrders[[#This Row],[Shipped]]&lt;&gt;"",tblVerifyOrders[[#This Row],[Actual hours]]=0),"Shipped with no actual hours",IF(COUNTIF(tblVerifyOrders[WO No.],tblVerifyOrders[[#This Row],[WO No.]])&gt;1,"Duplicate WO No.","OK")))))))))))</f>
        <v>OK</v>
      </c>
    </row>
    <row r="54" spans="2:26">
      <c r="B54" s="65" t="s">
        <v>418</v>
      </c>
      <c r="C54" s="65" t="s">
        <v>412</v>
      </c>
      <c r="D54" s="65" t="s">
        <v>416</v>
      </c>
      <c r="E54" s="74">
        <v>10</v>
      </c>
      <c r="F54" s="76">
        <v>46272</v>
      </c>
      <c r="G54" s="76">
        <v>46297</v>
      </c>
      <c r="H54" s="76"/>
      <c r="I54" s="65" t="s">
        <v>115</v>
      </c>
      <c r="J54" s="70">
        <v>3100</v>
      </c>
      <c r="K54" s="77">
        <v>18</v>
      </c>
      <c r="L54" s="70">
        <v>19</v>
      </c>
      <c r="M54" s="70">
        <v>400</v>
      </c>
      <c r="N54" s="70">
        <v>400</v>
      </c>
      <c r="O54" s="38">
        <f>IF(tblVerifyOrders[[#This Row],[Released]]="","",tblVerifyOrders[[#This Row],[Est hours]]*$E$38+tblVerifyOrders[[#This Row],[Est material]])</f>
        <v>2110</v>
      </c>
      <c r="P54" s="38">
        <f>IF(tblVerifyOrders[[#This Row],[Released]]="","",tblVerifyOrders[[#This Row],[Actual hours]]*$E$39+tblVerifyOrders[[#This Row],[Actual material]])</f>
        <v>2262</v>
      </c>
      <c r="Q54" s="38">
        <f>IF(tblVerifyOrders[[#This Row],[Released]]="","",IF(tblVerifyOrders[[#This Row],[Shipped]]="","",tblVerifyOrders[[#This Row],[Actual cost]]-tblVerifyOrders[[#This Row],[Est cost]]))</f>
        <v/>
      </c>
      <c r="R54" s="39">
        <f>IF(tblVerifyOrders[[#This Row],[Released]]="","",IF(OR(tblVerifyOrders[[#This Row],[Shipped]]="",tblVerifyOrders[[#This Row],[Order value]]&lt;=0),"",(tblVerifyOrders[[#This Row],[Order value]]-tblVerifyOrders[[#This Row],[Actual cost]])/tblVerifyOrders[[#This Row],[Order value]]))</f>
        <v/>
      </c>
      <c r="S54" s="40">
        <f>IF(tblVerifyOrders[[#This Row],[Released]]="","",IF(tblVerifyOrders[[#This Row],[Est hours]]&gt;0,tblVerifyOrders[[#This Row],[Actual hours]]/tblVerifyOrders[[#This Row],[Est hours]],""))</f>
        <v>1.05555555555556</v>
      </c>
      <c r="T54" s="38">
        <f>IF(tblVerifyOrders[[#This Row],[Released]]="","",MAX(0,IF(tblVerifyOrders[[#This Row],[Shipped]]="",$E$40,tblVerifyOrders[[#This Row],[Shipped]])-tblVerifyOrders[[#This Row],[Due]]))</f>
        <v>7</v>
      </c>
      <c r="U54" s="38">
        <f>IF(tblVerifyOrders[[#This Row],[Released]]="","",IF(tblVerifyOrders[[#This Row],[Shipped]]="","",tblVerifyOrders[[#This Row],[Shipped]]-tblVerifyOrders[[#This Row],[Released]]))</f>
        <v/>
      </c>
      <c r="V54" s="41" t="str">
        <f>IF(tblVerifyOrders[[#This Row],[Released]]="","",IF(tblVerifyOrders[[#This Row],[Shipped]]&lt;&gt;"","Complete",IF(tblVerifyOrders[[#This Row],[Due]]="","",IF(tblVerifyOrders[[#This Row],[Due]]&lt;$E$40,"Overdue",IF(tblVerifyOrders[[#This Row],[Due]]-$E$40&lt;=$E$41,"Due soon","In progress")))))</f>
        <v>Overdue</v>
      </c>
      <c r="W54" s="41">
        <f>IF(tblVerifyOrders[[#This Row],[Released]]="","",IF(OR(tblVerifyOrders[[#This Row],[Shipped]]="",tblVerifyOrders[[#This Row],[Due]]=""),"",IF(tblVerifyOrders[[#This Row],[Shipped]]&lt;=tblVerifyOrders[[#This Row],[Due]],"Yes","No")))</f>
        <v/>
      </c>
      <c r="X54" s="42">
        <f>IF(tblVerifyOrders[[#This Row],[Released]]="","",IF(AND(tblVerifyOrders[[#This Row],[Shipped]]&lt;&gt;"",tblVerifyOrders[[#This Row],[Shipped]]&gt;=$E$35,tblVerifyOrders[[#This Row],[Shipped]]&lt;=$E$36,OR($E$37="",tblVerifyOrders[[#This Row],[Customer]]=$E$37)),tblVerifyOrders[[#This Row],[Shipped]],""))</f>
        <v/>
      </c>
      <c r="Y54" s="42">
        <f>IF(tblVerifyOrders[[#This Row],[Released]]="","",IF(AND(tblVerifyOrders[[#This Row],[Shipped]]="",OR($E$37="",tblVerifyOrders[[#This Row],[Customer]]=$E$37)),tblVerifyOrders[[#This Row],[Released]],""))</f>
        <v>46272</v>
      </c>
      <c r="Z54" s="43" t="str">
        <f>IF(tblVerifyOrders[[#This Row],[Released]]="","",IF(tblVerifyOrders[[#This Row],[WO No.]]="","Missing wo no.",IF(tblVerifyOrders[[#This Row],[Customer]]="","Missing customer",IF(tblVerifyOrders[[#This Row],[Due]]="","Missing due",IF(COUNTIF(tblVerifyCustomers[Customer],tblVerifyOrders[[#This Row],[Customer]])=0,"Customer not on Setup list",IF(tblVerifyOrders[[#This Row],[Due]]&lt;tblVerifyOrders[[#This Row],[Released]],"Due before released",IF(AND(tblVerifyOrders[[#This Row],[Shipped]]&lt;&gt;"",tblVerifyOrders[[#This Row],[Shipped]]&lt;tblVerifyOrders[[#This Row],[Released]]),"Shipped before released",IF(OR(tblVerifyOrders[[#This Row],[Released]]&gt;$E$40,AND(tblVerifyOrders[[#This Row],[Shipped]]&lt;&gt;"",tblVerifyOrders[[#This Row],[Shipped]]&gt;$E$40)),"Date after the status date",IF(AND(tblVerifyOrders[[#This Row],[Shipped]]="",tblVerifyOrders[[#This Row],[Stage]]=""),"Open job with no stage",IF(AND(tblVerifyOrders[[#This Row],[Shipped]]&lt;&gt;"",tblVerifyOrders[[#This Row],[Actual hours]]=0),"Shipped with no actual hours",IF(COUNTIF(tblVerifyOrders[WO No.],tblVerifyOrders[[#This Row],[WO No.]])&gt;1,"Duplicate WO No.","OK")))))))))))</f>
        <v>OK</v>
      </c>
    </row>
    <row r="55" spans="2:26">
      <c r="B55" s="65" t="s">
        <v>419</v>
      </c>
      <c r="C55" s="65" t="s">
        <v>413</v>
      </c>
      <c r="D55" s="65" t="s">
        <v>416</v>
      </c>
      <c r="E55" s="74">
        <v>10</v>
      </c>
      <c r="F55" s="76">
        <v>46286</v>
      </c>
      <c r="G55" s="76">
        <v>46308</v>
      </c>
      <c r="H55" s="76"/>
      <c r="I55" s="65" t="s">
        <v>107</v>
      </c>
      <c r="J55" s="70">
        <v>2500</v>
      </c>
      <c r="K55" s="77">
        <v>12</v>
      </c>
      <c r="L55" s="70">
        <v>6</v>
      </c>
      <c r="M55" s="70">
        <v>300</v>
      </c>
      <c r="N55" s="70">
        <v>300</v>
      </c>
      <c r="O55" s="38">
        <f>IF(tblVerifyOrders[[#This Row],[Released]]="","",tblVerifyOrders[[#This Row],[Est hours]]*$E$38+tblVerifyOrders[[#This Row],[Est material]])</f>
        <v>1440</v>
      </c>
      <c r="P55" s="38">
        <f>IF(tblVerifyOrders[[#This Row],[Released]]="","",tblVerifyOrders[[#This Row],[Actual hours]]*$E$39+tblVerifyOrders[[#This Row],[Actual material]])</f>
        <v>888</v>
      </c>
      <c r="Q55" s="38">
        <f>IF(tblVerifyOrders[[#This Row],[Released]]="","",IF(tblVerifyOrders[[#This Row],[Shipped]]="","",tblVerifyOrders[[#This Row],[Actual cost]]-tblVerifyOrders[[#This Row],[Est cost]]))</f>
        <v/>
      </c>
      <c r="R55" s="39">
        <f>IF(tblVerifyOrders[[#This Row],[Released]]="","",IF(OR(tblVerifyOrders[[#This Row],[Shipped]]="",tblVerifyOrders[[#This Row],[Order value]]&lt;=0),"",(tblVerifyOrders[[#This Row],[Order value]]-tblVerifyOrders[[#This Row],[Actual cost]])/tblVerifyOrders[[#This Row],[Order value]]))</f>
        <v/>
      </c>
      <c r="S55" s="40">
        <f>IF(tblVerifyOrders[[#This Row],[Released]]="","",IF(tblVerifyOrders[[#This Row],[Est hours]]&gt;0,tblVerifyOrders[[#This Row],[Actual hours]]/tblVerifyOrders[[#This Row],[Est hours]],""))</f>
        <v>0.5</v>
      </c>
      <c r="T55" s="38">
        <f>IF(tblVerifyOrders[[#This Row],[Released]]="","",MAX(0,IF(tblVerifyOrders[[#This Row],[Shipped]]="",$E$40,tblVerifyOrders[[#This Row],[Shipped]])-tblVerifyOrders[[#This Row],[Due]]))</f>
        <v>0</v>
      </c>
      <c r="U55" s="38">
        <f>IF(tblVerifyOrders[[#This Row],[Released]]="","",IF(tblVerifyOrders[[#This Row],[Shipped]]="","",tblVerifyOrders[[#This Row],[Shipped]]-tblVerifyOrders[[#This Row],[Released]]))</f>
        <v/>
      </c>
      <c r="V55" s="41" t="str">
        <f>IF(tblVerifyOrders[[#This Row],[Released]]="","",IF(tblVerifyOrders[[#This Row],[Shipped]]&lt;&gt;"","Complete",IF(tblVerifyOrders[[#This Row],[Due]]="","",IF(tblVerifyOrders[[#This Row],[Due]]&lt;$E$40,"Overdue",IF(tblVerifyOrders[[#This Row],[Due]]-$E$40&lt;=$E$41,"Due soon","In progress")))))</f>
        <v>Due soon</v>
      </c>
      <c r="W55" s="41">
        <f>IF(tblVerifyOrders[[#This Row],[Released]]="","",IF(OR(tblVerifyOrders[[#This Row],[Shipped]]="",tblVerifyOrders[[#This Row],[Due]]=""),"",IF(tblVerifyOrders[[#This Row],[Shipped]]&lt;=tblVerifyOrders[[#This Row],[Due]],"Yes","No")))</f>
        <v/>
      </c>
      <c r="X55" s="42">
        <f>IF(tblVerifyOrders[[#This Row],[Released]]="","",IF(AND(tblVerifyOrders[[#This Row],[Shipped]]&lt;&gt;"",tblVerifyOrders[[#This Row],[Shipped]]&gt;=$E$35,tblVerifyOrders[[#This Row],[Shipped]]&lt;=$E$36,OR($E$37="",tblVerifyOrders[[#This Row],[Customer]]=$E$37)),tblVerifyOrders[[#This Row],[Shipped]],""))</f>
        <v/>
      </c>
      <c r="Y55" s="42">
        <f>IF(tblVerifyOrders[[#This Row],[Released]]="","",IF(AND(tblVerifyOrders[[#This Row],[Shipped]]="",OR($E$37="",tblVerifyOrders[[#This Row],[Customer]]=$E$37)),tblVerifyOrders[[#This Row],[Released]],""))</f>
        <v>46286</v>
      </c>
      <c r="Z55" s="43" t="str">
        <f>IF(tblVerifyOrders[[#This Row],[Released]]="","",IF(tblVerifyOrders[[#This Row],[WO No.]]="","Missing wo no.",IF(tblVerifyOrders[[#This Row],[Customer]]="","Missing customer",IF(tblVerifyOrders[[#This Row],[Due]]="","Missing due",IF(COUNTIF(tblVerifyCustomers[Customer],tblVerifyOrders[[#This Row],[Customer]])=0,"Customer not on Setup list",IF(tblVerifyOrders[[#This Row],[Due]]&lt;tblVerifyOrders[[#This Row],[Released]],"Due before released",IF(AND(tblVerifyOrders[[#This Row],[Shipped]]&lt;&gt;"",tblVerifyOrders[[#This Row],[Shipped]]&lt;tblVerifyOrders[[#This Row],[Released]]),"Shipped before released",IF(OR(tblVerifyOrders[[#This Row],[Released]]&gt;$E$40,AND(tblVerifyOrders[[#This Row],[Shipped]]&lt;&gt;"",tblVerifyOrders[[#This Row],[Shipped]]&gt;$E$40)),"Date after the status date",IF(AND(tblVerifyOrders[[#This Row],[Shipped]]="",tblVerifyOrders[[#This Row],[Stage]]=""),"Open job with no stage",IF(AND(tblVerifyOrders[[#This Row],[Shipped]]&lt;&gt;"",tblVerifyOrders[[#This Row],[Actual hours]]=0),"Shipped with no actual hours",IF(COUNTIF(tblVerifyOrders[WO No.],tblVerifyOrders[[#This Row],[WO No.]])&gt;1,"Duplicate WO No.","OK")))))))))))</f>
        <v>OK</v>
      </c>
    </row>
    <row r="56" spans="2:26">
      <c r="B56" s="65" t="s">
        <v>420</v>
      </c>
      <c r="C56" s="65" t="s">
        <v>413</v>
      </c>
      <c r="D56" s="65" t="s">
        <v>416</v>
      </c>
      <c r="E56" s="74">
        <v>10</v>
      </c>
      <c r="F56" s="76">
        <v>46300</v>
      </c>
      <c r="G56" s="76">
        <v>46325</v>
      </c>
      <c r="H56" s="76"/>
      <c r="I56" s="65" t="s">
        <v>105</v>
      </c>
      <c r="J56" s="70">
        <v>5600</v>
      </c>
      <c r="K56" s="77">
        <v>30</v>
      </c>
      <c r="L56" s="70">
        <v>0</v>
      </c>
      <c r="M56" s="70">
        <v>900</v>
      </c>
      <c r="N56" s="70">
        <v>0</v>
      </c>
      <c r="O56" s="38">
        <f>IF(tblVerifyOrders[[#This Row],[Released]]="","",tblVerifyOrders[[#This Row],[Est hours]]*$E$38+tblVerifyOrders[[#This Row],[Est material]])</f>
        <v>3750</v>
      </c>
      <c r="P56" s="38">
        <f>IF(tblVerifyOrders[[#This Row],[Released]]="","",tblVerifyOrders[[#This Row],[Actual hours]]*$E$39+tblVerifyOrders[[#This Row],[Actual material]])</f>
        <v>0</v>
      </c>
      <c r="Q56" s="38">
        <f>IF(tblVerifyOrders[[#This Row],[Released]]="","",IF(tblVerifyOrders[[#This Row],[Shipped]]="","",tblVerifyOrders[[#This Row],[Actual cost]]-tblVerifyOrders[[#This Row],[Est cost]]))</f>
        <v/>
      </c>
      <c r="R56" s="39">
        <f>IF(tblVerifyOrders[[#This Row],[Released]]="","",IF(OR(tblVerifyOrders[[#This Row],[Shipped]]="",tblVerifyOrders[[#This Row],[Order value]]&lt;=0),"",(tblVerifyOrders[[#This Row],[Order value]]-tblVerifyOrders[[#This Row],[Actual cost]])/tblVerifyOrders[[#This Row],[Order value]]))</f>
        <v/>
      </c>
      <c r="S56" s="40">
        <f>IF(tblVerifyOrders[[#This Row],[Released]]="","",IF(tblVerifyOrders[[#This Row],[Est hours]]&gt;0,tblVerifyOrders[[#This Row],[Actual hours]]/tblVerifyOrders[[#This Row],[Est hours]],""))</f>
        <v>0</v>
      </c>
      <c r="T56" s="38">
        <f>IF(tblVerifyOrders[[#This Row],[Released]]="","",MAX(0,IF(tblVerifyOrders[[#This Row],[Shipped]]="",$E$40,tblVerifyOrders[[#This Row],[Shipped]])-tblVerifyOrders[[#This Row],[Due]]))</f>
        <v>0</v>
      </c>
      <c r="U56" s="38">
        <f>IF(tblVerifyOrders[[#This Row],[Released]]="","",IF(tblVerifyOrders[[#This Row],[Shipped]]="","",tblVerifyOrders[[#This Row],[Shipped]]-tblVerifyOrders[[#This Row],[Released]]))</f>
        <v/>
      </c>
      <c r="V56" s="41" t="str">
        <f>IF(tblVerifyOrders[[#This Row],[Released]]="","",IF(tblVerifyOrders[[#This Row],[Shipped]]&lt;&gt;"","Complete",IF(tblVerifyOrders[[#This Row],[Due]]="","",IF(tblVerifyOrders[[#This Row],[Due]]&lt;$E$40,"Overdue",IF(tblVerifyOrders[[#This Row],[Due]]-$E$40&lt;=$E$41,"Due soon","In progress")))))</f>
        <v>In progress</v>
      </c>
      <c r="W56" s="41">
        <f>IF(tblVerifyOrders[[#This Row],[Released]]="","",IF(OR(tblVerifyOrders[[#This Row],[Shipped]]="",tblVerifyOrders[[#This Row],[Due]]=""),"",IF(tblVerifyOrders[[#This Row],[Shipped]]&lt;=tblVerifyOrders[[#This Row],[Due]],"Yes","No")))</f>
        <v/>
      </c>
      <c r="X56" s="42">
        <f>IF(tblVerifyOrders[[#This Row],[Released]]="","",IF(AND(tblVerifyOrders[[#This Row],[Shipped]]&lt;&gt;"",tblVerifyOrders[[#This Row],[Shipped]]&gt;=$E$35,tblVerifyOrders[[#This Row],[Shipped]]&lt;=$E$36,OR($E$37="",tblVerifyOrders[[#This Row],[Customer]]=$E$37)),tblVerifyOrders[[#This Row],[Shipped]],""))</f>
        <v/>
      </c>
      <c r="Y56" s="42">
        <f>IF(tblVerifyOrders[[#This Row],[Released]]="","",IF(AND(tblVerifyOrders[[#This Row],[Shipped]]="",OR($E$37="",tblVerifyOrders[[#This Row],[Customer]]=$E$37)),tblVerifyOrders[[#This Row],[Released]],""))</f>
        <v>46300</v>
      </c>
      <c r="Z56" s="43" t="str">
        <f>IF(tblVerifyOrders[[#This Row],[Released]]="","",IF(tblVerifyOrders[[#This Row],[WO No.]]="","Missing wo no.",IF(tblVerifyOrders[[#This Row],[Customer]]="","Missing customer",IF(tblVerifyOrders[[#This Row],[Due]]="","Missing due",IF(COUNTIF(tblVerifyCustomers[Customer],tblVerifyOrders[[#This Row],[Customer]])=0,"Customer not on Setup list",IF(tblVerifyOrders[[#This Row],[Due]]&lt;tblVerifyOrders[[#This Row],[Released]],"Due before released",IF(AND(tblVerifyOrders[[#This Row],[Shipped]]&lt;&gt;"",tblVerifyOrders[[#This Row],[Shipped]]&lt;tblVerifyOrders[[#This Row],[Released]]),"Shipped before released",IF(OR(tblVerifyOrders[[#This Row],[Released]]&gt;$E$40,AND(tblVerifyOrders[[#This Row],[Shipped]]&lt;&gt;"",tblVerifyOrders[[#This Row],[Shipped]]&gt;$E$40)),"Date after the status date",IF(AND(tblVerifyOrders[[#This Row],[Shipped]]="",tblVerifyOrders[[#This Row],[Stage]]=""),"Open job with no stage",IF(AND(tblVerifyOrders[[#This Row],[Shipped]]&lt;&gt;"",tblVerifyOrders[[#This Row],[Actual hours]]=0),"Shipped with no actual hours",IF(COUNTIF(tblVerifyOrders[WO No.],tblVerifyOrders[[#This Row],[WO No.]])&gt;1,"Duplicate WO No.","OK")))))))))))</f>
        <v>OK</v>
      </c>
    </row>
    <row r="57" spans="2:26">
      <c r="B57" s="65" t="s">
        <v>421</v>
      </c>
      <c r="C57" s="65" t="s">
        <v>412</v>
      </c>
      <c r="D57" s="65" t="s">
        <v>416</v>
      </c>
      <c r="E57" s="74">
        <v>10</v>
      </c>
      <c r="F57" s="76">
        <v>46279</v>
      </c>
      <c r="G57" s="76">
        <v>46295</v>
      </c>
      <c r="H57" s="76">
        <v>46276</v>
      </c>
      <c r="I57" s="65"/>
      <c r="J57" s="70">
        <v>1000</v>
      </c>
      <c r="K57" s="77">
        <v>5</v>
      </c>
      <c r="L57" s="70">
        <v>5</v>
      </c>
      <c r="M57" s="70">
        <v>100</v>
      </c>
      <c r="N57" s="70">
        <v>100</v>
      </c>
      <c r="O57" s="38">
        <f>IF(tblVerifyOrders[[#This Row],[Released]]="","",tblVerifyOrders[[#This Row],[Est hours]]*$E$38+tblVerifyOrders[[#This Row],[Est material]])</f>
        <v>575</v>
      </c>
      <c r="P57" s="38">
        <f>IF(tblVerifyOrders[[#This Row],[Released]]="","",tblVerifyOrders[[#This Row],[Actual hours]]*$E$39+tblVerifyOrders[[#This Row],[Actual material]])</f>
        <v>590</v>
      </c>
      <c r="Q57" s="38">
        <f>IF(tblVerifyOrders[[#This Row],[Released]]="","",IF(tblVerifyOrders[[#This Row],[Shipped]]="","",tblVerifyOrders[[#This Row],[Actual cost]]-tblVerifyOrders[[#This Row],[Est cost]]))</f>
        <v>15</v>
      </c>
      <c r="R57" s="39">
        <f>IF(tblVerifyOrders[[#This Row],[Released]]="","",IF(OR(tblVerifyOrders[[#This Row],[Shipped]]="",tblVerifyOrders[[#This Row],[Order value]]&lt;=0),"",(tblVerifyOrders[[#This Row],[Order value]]-tblVerifyOrders[[#This Row],[Actual cost]])/tblVerifyOrders[[#This Row],[Order value]]))</f>
        <v>0.41</v>
      </c>
      <c r="S57" s="40">
        <f>IF(tblVerifyOrders[[#This Row],[Released]]="","",IF(tblVerifyOrders[[#This Row],[Est hours]]&gt;0,tblVerifyOrders[[#This Row],[Actual hours]]/tblVerifyOrders[[#This Row],[Est hours]],""))</f>
        <v>1</v>
      </c>
      <c r="T57" s="38">
        <f>IF(tblVerifyOrders[[#This Row],[Released]]="","",MAX(0,IF(tblVerifyOrders[[#This Row],[Shipped]]="",$E$40,tblVerifyOrders[[#This Row],[Shipped]])-tblVerifyOrders[[#This Row],[Due]]))</f>
        <v>0</v>
      </c>
      <c r="U57" s="38">
        <f>IF(tblVerifyOrders[[#This Row],[Released]]="","",IF(tblVerifyOrders[[#This Row],[Shipped]]="","",tblVerifyOrders[[#This Row],[Shipped]]-tblVerifyOrders[[#This Row],[Released]]))</f>
        <v>-3</v>
      </c>
      <c r="V57" s="41" t="str">
        <f>IF(tblVerifyOrders[[#This Row],[Released]]="","",IF(tblVerifyOrders[[#This Row],[Shipped]]&lt;&gt;"","Complete",IF(tblVerifyOrders[[#This Row],[Due]]="","",IF(tblVerifyOrders[[#This Row],[Due]]&lt;$E$40,"Overdue",IF(tblVerifyOrders[[#This Row],[Due]]-$E$40&lt;=$E$41,"Due soon","In progress")))))</f>
        <v>Complete</v>
      </c>
      <c r="W57" s="41" t="str">
        <f>IF(tblVerifyOrders[[#This Row],[Released]]="","",IF(OR(tblVerifyOrders[[#This Row],[Shipped]]="",tblVerifyOrders[[#This Row],[Due]]=""),"",IF(tblVerifyOrders[[#This Row],[Shipped]]&lt;=tblVerifyOrders[[#This Row],[Due]],"Yes","No")))</f>
        <v>Yes</v>
      </c>
      <c r="X57" s="42">
        <f>IF(tblVerifyOrders[[#This Row],[Released]]="","",IF(AND(tblVerifyOrders[[#This Row],[Shipped]]&lt;&gt;"",tblVerifyOrders[[#This Row],[Shipped]]&gt;=$E$35,tblVerifyOrders[[#This Row],[Shipped]]&lt;=$E$36,OR($E$37="",tblVerifyOrders[[#This Row],[Customer]]=$E$37)),tblVerifyOrders[[#This Row],[Shipped]],""))</f>
        <v>46276</v>
      </c>
      <c r="Y57" s="42">
        <f>IF(tblVerifyOrders[[#This Row],[Released]]="","",IF(AND(tblVerifyOrders[[#This Row],[Shipped]]="",OR($E$37="",tblVerifyOrders[[#This Row],[Customer]]=$E$37)),tblVerifyOrders[[#This Row],[Released]],""))</f>
        <v/>
      </c>
      <c r="Z57" s="43" t="str">
        <f>IF(tblVerifyOrders[[#This Row],[Released]]="","",IF(tblVerifyOrders[[#This Row],[WO No.]]="","Missing wo no.",IF(tblVerifyOrders[[#This Row],[Customer]]="","Missing customer",IF(tblVerifyOrders[[#This Row],[Due]]="","Missing due",IF(COUNTIF(tblVerifyCustomers[Customer],tblVerifyOrders[[#This Row],[Customer]])=0,"Customer not on Setup list",IF(tblVerifyOrders[[#This Row],[Due]]&lt;tblVerifyOrders[[#This Row],[Released]],"Due before released",IF(AND(tblVerifyOrders[[#This Row],[Shipped]]&lt;&gt;"",tblVerifyOrders[[#This Row],[Shipped]]&lt;tblVerifyOrders[[#This Row],[Released]]),"Shipped before released",IF(OR(tblVerifyOrders[[#This Row],[Released]]&gt;$E$40,AND(tblVerifyOrders[[#This Row],[Shipped]]&lt;&gt;"",tblVerifyOrders[[#This Row],[Shipped]]&gt;$E$40)),"Date after the status date",IF(AND(tblVerifyOrders[[#This Row],[Shipped]]="",tblVerifyOrders[[#This Row],[Stage]]=""),"Open job with no stage",IF(AND(tblVerifyOrders[[#This Row],[Shipped]]&lt;&gt;"",tblVerifyOrders[[#This Row],[Actual hours]]=0),"Shipped with no actual hours",IF(COUNTIF(tblVerifyOrders[WO No.],tblVerifyOrders[[#This Row],[WO No.]])&gt;1,"Duplicate WO No.","OK")))))))))))</f>
        <v>Shipped before released</v>
      </c>
    </row>
  </sheetData>
  <sheetProtection sheet="1" formatColumns="0" formatRows="0"/>
  <mergeCells count="41">
    <mergeCell ref="A1:Z1"/>
    <mergeCell ref="B2:Y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E37:F37"/>
    <mergeCell ref="B38:D38"/>
    <mergeCell ref="B39:D39"/>
    <mergeCell ref="B40:D40"/>
    <mergeCell ref="B41:D41"/>
    <mergeCell ref="B42:D42"/>
    <mergeCell ref="B44:L44"/>
    <mergeCell ref="B49:L4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Z52:Z57">
    <cfRule type="expression" dxfId="3" priority="41">
      <formula>$Z52="OK"</formula>
    </cfRule>
    <cfRule type="expression" dxfId="1" priority="42">
      <formula>AND($Z52&lt;&gt;"",$Z52&lt;&gt;"OK")</formula>
    </cfRule>
  </conditionalFormatting>
  <hyperlinks>
    <hyperlink ref="Z2" r:id="rId1" tooltip="Free manufacturing calculators and templates"/>
  </hyperlinks>
  <printOptions horizontalCentered="1"/>
  <pageMargins left="0.4" right="0.4" top="0.7" bottom="0.65" header="0.3" footer="0.3"/>
  <pageSetup fitToHeight="0" orientation="landscape"/>
  <headerFooter>
    <oddHeader>&amp;L&amp;8MFG Calcs - Job Shop Work Order Tracker&amp;R&amp;8&amp;A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34</vt:i4>
      </vt:variant>
    </vt:vector>
  </HeadingPairs>
  <TitlesOfParts>
    <vt:vector size="40" baseType="lpstr">
      <vt:lpstr>Start Here</vt:lpstr>
      <vt:lpstr>Setup</vt:lpstr>
      <vt:lpstr>Work Orders</vt:lpstr>
      <vt:lpstr>Dashboard</vt:lpstr>
      <vt:lpstr>Method</vt:lpstr>
      <vt:lpstr>Verify</vt:lpstr>
      <vt:lpstr>AsOf</vt:lpstr>
      <vt:lpstr>CostRate</vt:lpstr>
      <vt:lpstr>Currency</vt:lpstr>
      <vt:lpstr>DashCustomer</vt:lpstr>
      <vt:lpstr>DashFrom</vt:lpstr>
      <vt:lpstr>DashTo</vt:lpstr>
      <vt:lpstr>DueSoonDays</vt:lpstr>
      <vt:lpstr>EstRate</vt:lpstr>
      <vt:lpstr>HoursTol</vt:lpstr>
      <vt:lpstr>KpiHours</vt:lpstr>
      <vt:lpstr>KpiHoursVar</vt:lpstr>
      <vt:lpstr>KpiLead</vt:lpstr>
      <vt:lpstr>KpiMargin</vt:lpstr>
      <vt:lpstr>KpiMatVar</vt:lpstr>
      <vt:lpstr>KpiOpen</vt:lpstr>
      <vt:lpstr>KpiOpenValue</vt:lpstr>
      <vt:lpstr>KpiOTD</vt:lpstr>
      <vt:lpstr>KpiOverdue</vt:lpstr>
      <vt:lpstr>KpiRateVar</vt:lpstr>
      <vt:lpstr>KpiShipped</vt:lpstr>
      <vt:lpstr>KpiVariance</vt:lpstr>
      <vt:lpstr>Dashboard!Print_Area</vt:lpstr>
      <vt:lpstr>Method!Print_Area</vt:lpstr>
      <vt:lpstr>Setup!Print_Area</vt:lpstr>
      <vt:lpstr>'Start Here'!Print_Area</vt:lpstr>
      <vt:lpstr>Verify!Print_Area</vt:lpstr>
      <vt:lpstr>'Work Orders'!Print_Area</vt:lpstr>
      <vt:lpstr>Method!Print_Titles</vt:lpstr>
      <vt:lpstr>'Work Orders'!Print_Titles</vt:lpstr>
      <vt:lpstr>SelfCheck</vt:lpstr>
      <vt:lpstr>SelfCheckSummary</vt:lpstr>
      <vt:lpstr>ShopName</vt:lpstr>
      <vt:lpstr>TargetMargin</vt:lpstr>
      <vt:lpstr>TargetOTD</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Job Shop Work Order Tracker - free Excel template from MFG Calcs</dc:title>
  <dc:subject>Track every work order from release to shipment and see on-time delivery, open work by stage, and estimated versus actual hours, cost and margin.</dc:subject>
  <dc:creator>MFG Calcs</dc:creator>
  <cp:keywords>work order tracker, job shop, on-time delivery, open orders, job costing, estimate vs actual, machine shop, WIP</cp:keywords>
  <dc:description>https://www.mfgcalcs.com/templates/work-order-tracker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work-order-tracker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https://www.mfgcalcs.com/templates/work-order-tracker</vt:lpwstr>
  </property>
  <property fmtid="{D5CDD505-2E9C-101B-9397-08002B2CF9AE}" pid="7" name="Template sheet roles">
    <vt:lpwstr>Start Here=start;Setup=setup;Work Orders=work;Dashboard=dashboard;Method=method;Verify=verify</vt:lpwstr>
  </property>
</Properties>
</file>